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공유 드라이브\재무그룹\1 결산\2020년\2020년 12월\01.연결\"/>
    </mc:Choice>
  </mc:AlternateContent>
  <xr:revisionPtr revIDLastSave="0" documentId="13_ncr:1_{21B14080-A35C-4149-9A85-029F3974CA11}" xr6:coauthVersionLast="47" xr6:coauthVersionMax="47" xr10:uidLastSave="{00000000-0000-0000-0000-000000000000}"/>
  <bookViews>
    <workbookView xWindow="-120" yWindow="-120" windowWidth="38640" windowHeight="15840" tabRatio="908" activeTab="31" xr2:uid="{00000000-000D-0000-FFFF-FFFF00000000}"/>
  </bookViews>
  <sheets>
    <sheet name="INDEX" sheetId="20" r:id="rId1"/>
    <sheet name="SCOPE" sheetId="2" r:id="rId2"/>
    <sheet name="자본변동" sheetId="17" r:id="rId3"/>
    <sheet name="T_BS" sheetId="1" r:id="rId4"/>
    <sheet name="T_IS" sheetId="3" r:id="rId5"/>
    <sheet name="T_CE" sheetId="38" r:id="rId6"/>
    <sheet name="CF.1" sheetId="23" r:id="rId7"/>
    <sheet name="CF.2" sheetId="24" r:id="rId8"/>
    <sheet name="BS(공)" sheetId="26" r:id="rId9"/>
    <sheet name="IS(공)" sheetId="33" r:id="rId10"/>
    <sheet name="CE(공)" sheetId="39" r:id="rId11"/>
    <sheet name="CF(공)_1.0" sheetId="25" r:id="rId12"/>
    <sheet name="T198_TB" sheetId="22" r:id="rId13"/>
    <sheet name="TB" sheetId="45" state="hidden" r:id="rId14"/>
    <sheet name="CFS" sheetId="31" r:id="rId15"/>
    <sheet name="연결조정 분개" sheetId="44" state="hidden" r:id="rId16"/>
    <sheet name="1.0" sheetId="4" r:id="rId17"/>
    <sheet name="2.0" sheetId="5" r:id="rId18"/>
    <sheet name="2.1" sheetId="42" state="hidden" r:id="rId19"/>
    <sheet name="3.0" sheetId="6" r:id="rId20"/>
    <sheet name="3.1" sheetId="7" state="hidden" r:id="rId21"/>
    <sheet name="4.0" sheetId="8" r:id="rId22"/>
    <sheet name="5.0" sheetId="9" r:id="rId23"/>
    <sheet name="5.1" sheetId="10" r:id="rId24"/>
    <sheet name="5.1_V2" sheetId="34" state="hidden" r:id="rId25"/>
    <sheet name="5.2" sheetId="11" r:id="rId26"/>
    <sheet name="5.2_V2" sheetId="35" state="hidden" r:id="rId27"/>
    <sheet name="5.3" sheetId="43" state="hidden" r:id="rId28"/>
    <sheet name="6.0" sheetId="12" r:id="rId29"/>
    <sheet name="7.0" sheetId="13" r:id="rId30"/>
    <sheet name="7.1" sheetId="18" state="hidden" r:id="rId31"/>
    <sheet name="8.0" sheetId="14" r:id="rId32"/>
    <sheet name="8.1" sheetId="21" r:id="rId33"/>
    <sheet name="OCI" sheetId="16" r:id="rId34"/>
    <sheet name="NCE" sheetId="15" r:id="rId35"/>
    <sheet name="NCI" sheetId="19" r:id="rId36"/>
    <sheet name="CF(공)_2.0" sheetId="30" state="hidden" r:id="rId37"/>
  </sheets>
  <externalReferences>
    <externalReference r:id="rId38"/>
  </externalReferences>
  <definedNames>
    <definedName name="_xlnm._FilterDatabase" localSheetId="16" hidden="1">'1.0'!$D$5:$N$49</definedName>
    <definedName name="_xlnm._FilterDatabase" localSheetId="19" hidden="1">'3.0'!$D$4:$H$205</definedName>
    <definedName name="_xlnm._FilterDatabase" localSheetId="22" hidden="1">'5.0'!$D$5:$N$16</definedName>
    <definedName name="_xlnm._FilterDatabase" localSheetId="11" hidden="1">'CF(공)_1.0'!$D$5:$H$97</definedName>
    <definedName name="_xlnm._FilterDatabase" localSheetId="6" hidden="1">'CF.1'!$D$6:$T$358</definedName>
    <definedName name="_xlnm._FilterDatabase" localSheetId="14" hidden="1">CFS!$D$4:$M$313</definedName>
    <definedName name="_xlnm._FilterDatabase" localSheetId="3" hidden="1">T_BS!$D$6:$U$244</definedName>
    <definedName name="_xlnm._FilterDatabase" localSheetId="4" hidden="1">T_IS!$A$5:$X$125</definedName>
    <definedName name="_xlnm._FilterDatabase" localSheetId="12" hidden="1">T198_TB!$D$4:$L$163</definedName>
    <definedName name="_xlnm._FilterDatabase" localSheetId="13" hidden="1">TB!$A$1:$N$1</definedName>
    <definedName name="_xlnm._FilterDatabase" localSheetId="15" hidden="1">'연결조정 분개'!$C$5:$AA$173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4" l="1"/>
  <c r="P12" i="9" l="1"/>
  <c r="N14" i="9"/>
  <c r="K11" i="21" l="1"/>
  <c r="K10" i="21"/>
  <c r="K8" i="21"/>
  <c r="K7" i="21"/>
  <c r="K6" i="21"/>
  <c r="K9" i="21"/>
  <c r="T138" i="1" l="1"/>
  <c r="S138" i="1"/>
  <c r="R138" i="1"/>
  <c r="P138" i="1"/>
  <c r="O138" i="1"/>
  <c r="N138" i="1"/>
  <c r="M138" i="1"/>
  <c r="K138" i="1"/>
  <c r="L64" i="31" l="1"/>
  <c r="M27" i="6" l="1"/>
  <c r="G10" i="39" l="1"/>
  <c r="H9" i="39"/>
  <c r="H19" i="14" l="1"/>
  <c r="H125" i="23" l="1"/>
  <c r="N26" i="4" l="1"/>
  <c r="N27" i="4" s="1"/>
  <c r="N28" i="4" s="1"/>
  <c r="T52" i="3" l="1"/>
  <c r="S52" i="3"/>
  <c r="R52" i="3"/>
  <c r="Q52" i="3"/>
  <c r="P52" i="3"/>
  <c r="O52" i="3"/>
  <c r="N52" i="3"/>
  <c r="M52" i="3"/>
  <c r="T113" i="1"/>
  <c r="S113" i="1"/>
  <c r="R113" i="1"/>
  <c r="Q113" i="1"/>
  <c r="P113" i="1"/>
  <c r="O113" i="1"/>
  <c r="N113" i="1"/>
  <c r="M113" i="1"/>
  <c r="T112" i="1"/>
  <c r="S112" i="1"/>
  <c r="R112" i="1"/>
  <c r="Q112" i="1"/>
  <c r="P112" i="1"/>
  <c r="O112" i="1"/>
  <c r="N112" i="1"/>
  <c r="M112" i="1"/>
  <c r="U52" i="3" l="1"/>
  <c r="U112" i="1"/>
  <c r="U113" i="1"/>
  <c r="F153" i="6" l="1"/>
  <c r="G153" i="6"/>
  <c r="T15" i="10"/>
  <c r="L13" i="6"/>
  <c r="L12" i="6"/>
  <c r="Q10" i="12"/>
  <c r="R10" i="12"/>
  <c r="H153" i="6" l="1"/>
  <c r="W6" i="6"/>
  <c r="W7" i="6"/>
  <c r="W8" i="6"/>
  <c r="W9" i="6"/>
  <c r="W10" i="6"/>
  <c r="W11" i="6"/>
  <c r="W12" i="6"/>
  <c r="W13" i="6"/>
  <c r="W14" i="6"/>
  <c r="W15" i="6"/>
  <c r="W5" i="6"/>
  <c r="L30" i="6" l="1"/>
  <c r="L29" i="6" s="1"/>
  <c r="W18" i="6"/>
  <c r="N54" i="8"/>
  <c r="N55" i="8" s="1"/>
  <c r="L4" i="22" l="1"/>
  <c r="J5" i="38" l="1"/>
  <c r="T14" i="10" l="1"/>
  <c r="T50" i="8"/>
  <c r="U50" i="8"/>
  <c r="AB50" i="8"/>
  <c r="G82" i="30" l="1"/>
  <c r="H76" i="30"/>
  <c r="H74" i="30"/>
  <c r="I73" i="30" s="1"/>
  <c r="H60" i="30"/>
  <c r="H54" i="30"/>
  <c r="I53" i="30" s="1"/>
  <c r="F52" i="30"/>
  <c r="F51" i="30"/>
  <c r="F50" i="30"/>
  <c r="F44" i="30"/>
  <c r="H39" i="30"/>
  <c r="F37" i="30"/>
  <c r="F19" i="30"/>
  <c r="H8" i="30"/>
  <c r="H6" i="30" s="1"/>
  <c r="I5" i="30" s="1"/>
  <c r="O27" i="19"/>
  <c r="N27" i="19"/>
  <c r="M27" i="19"/>
  <c r="L27" i="19"/>
  <c r="K27" i="19"/>
  <c r="J27" i="19"/>
  <c r="I27" i="19"/>
  <c r="H27" i="19"/>
  <c r="F27" i="19"/>
  <c r="L16" i="19"/>
  <c r="I14" i="19"/>
  <c r="H14" i="19"/>
  <c r="J13" i="19"/>
  <c r="G12" i="19"/>
  <c r="G14" i="19" s="1"/>
  <c r="J10" i="19"/>
  <c r="K9" i="19"/>
  <c r="J9" i="19"/>
  <c r="N9" i="19" s="1"/>
  <c r="G22" i="19" s="1"/>
  <c r="P22" i="19" s="1"/>
  <c r="K7" i="19"/>
  <c r="N12" i="15"/>
  <c r="J12" i="15"/>
  <c r="I12" i="15"/>
  <c r="H12" i="15"/>
  <c r="G12" i="15"/>
  <c r="Q11" i="15"/>
  <c r="P11" i="15"/>
  <c r="R11" i="15" s="1"/>
  <c r="S11" i="15" s="1"/>
  <c r="U11" i="15" s="1"/>
  <c r="Q26" i="19" s="1"/>
  <c r="L11" i="15"/>
  <c r="K13" i="19" s="1"/>
  <c r="K11" i="15"/>
  <c r="Q10" i="15"/>
  <c r="P10" i="15"/>
  <c r="R10" i="15" s="1"/>
  <c r="L10" i="15"/>
  <c r="K10" i="15"/>
  <c r="Q9" i="15"/>
  <c r="O9" i="15"/>
  <c r="P9" i="15" s="1"/>
  <c r="L9" i="15"/>
  <c r="K11" i="19" s="1"/>
  <c r="Q8" i="15"/>
  <c r="P8" i="15"/>
  <c r="L8" i="15"/>
  <c r="K10" i="19" s="1"/>
  <c r="K8" i="15"/>
  <c r="Q7" i="15"/>
  <c r="P7" i="15"/>
  <c r="R7" i="15" s="1"/>
  <c r="L7" i="15"/>
  <c r="K7" i="15"/>
  <c r="M7" i="15" s="1"/>
  <c r="Q6" i="15"/>
  <c r="P6" i="15"/>
  <c r="R6" i="15" s="1"/>
  <c r="L6" i="15"/>
  <c r="K8" i="19" s="1"/>
  <c r="P5" i="15"/>
  <c r="R5" i="15" s="1"/>
  <c r="Q14" i="16"/>
  <c r="Q15" i="16" s="1"/>
  <c r="AB12" i="16"/>
  <c r="AC11" i="16"/>
  <c r="AD11" i="16" s="1"/>
  <c r="AE11" i="16" s="1"/>
  <c r="W11" i="16"/>
  <c r="AC10" i="16"/>
  <c r="W10" i="16"/>
  <c r="X10" i="16" s="1"/>
  <c r="Y10" i="16" s="1"/>
  <c r="AC8" i="16"/>
  <c r="W8" i="16"/>
  <c r="AC7" i="16"/>
  <c r="AD7" i="16" s="1"/>
  <c r="AE7" i="16" s="1"/>
  <c r="W7" i="16"/>
  <c r="AB12" i="21"/>
  <c r="AA12" i="21"/>
  <c r="Z12" i="21"/>
  <c r="Y12" i="21"/>
  <c r="X12" i="21"/>
  <c r="W12" i="21"/>
  <c r="V12" i="21"/>
  <c r="U12" i="21"/>
  <c r="T12" i="21"/>
  <c r="S12" i="21"/>
  <c r="P12" i="21"/>
  <c r="N12" i="21"/>
  <c r="K12" i="21"/>
  <c r="J12" i="21"/>
  <c r="I12" i="21"/>
  <c r="H12" i="21"/>
  <c r="G12" i="21"/>
  <c r="M11" i="21"/>
  <c r="M10" i="21"/>
  <c r="Q10" i="21" s="1"/>
  <c r="AC10" i="21" s="1"/>
  <c r="M9" i="21"/>
  <c r="Q9" i="21" s="1"/>
  <c r="AC9" i="21" s="1"/>
  <c r="M8" i="21"/>
  <c r="Q8" i="21" s="1"/>
  <c r="AC8" i="21" s="1"/>
  <c r="M7" i="21"/>
  <c r="M6" i="21"/>
  <c r="Q6" i="21" s="1"/>
  <c r="E29" i="14"/>
  <c r="J15" i="14" s="1"/>
  <c r="G15" i="14" s="1"/>
  <c r="F24" i="14"/>
  <c r="M23" i="14"/>
  <c r="G23" i="14"/>
  <c r="H23" i="14" s="1"/>
  <c r="G21" i="14"/>
  <c r="H21" i="14" s="1"/>
  <c r="G17" i="14"/>
  <c r="H17" i="14" s="1"/>
  <c r="G16" i="14"/>
  <c r="H16" i="14" s="1"/>
  <c r="G10" i="14"/>
  <c r="H10" i="14" s="1"/>
  <c r="T226" i="1" s="1"/>
  <c r="G6" i="14"/>
  <c r="H6" i="14" s="1"/>
  <c r="G5" i="14"/>
  <c r="H5" i="14" s="1"/>
  <c r="H2" i="14"/>
  <c r="F9" i="13"/>
  <c r="F4" i="13" s="1"/>
  <c r="F8" i="13"/>
  <c r="F7" i="13"/>
  <c r="L4" i="13"/>
  <c r="K4" i="13"/>
  <c r="J4" i="13"/>
  <c r="I4" i="13"/>
  <c r="H4" i="13"/>
  <c r="G4" i="13"/>
  <c r="Y43" i="12"/>
  <c r="Z42" i="12" s="1"/>
  <c r="Z38" i="12"/>
  <c r="AE15" i="12" s="1"/>
  <c r="Y36" i="12"/>
  <c r="Y32" i="12"/>
  <c r="Z33" i="12" s="1"/>
  <c r="N32" i="12"/>
  <c r="N31" i="12" s="1"/>
  <c r="R70" i="1" s="1"/>
  <c r="Y29" i="12"/>
  <c r="Z30" i="12" s="1"/>
  <c r="T28" i="12"/>
  <c r="S28" i="12"/>
  <c r="Y27" i="12"/>
  <c r="T27" i="12"/>
  <c r="S27" i="12"/>
  <c r="T26" i="12"/>
  <c r="S26" i="12"/>
  <c r="T25" i="12"/>
  <c r="S25" i="12"/>
  <c r="T24" i="12"/>
  <c r="S24" i="12"/>
  <c r="Y22" i="12"/>
  <c r="Y25" i="12" s="1"/>
  <c r="Z21" i="12"/>
  <c r="R20" i="12"/>
  <c r="Q20" i="12"/>
  <c r="N20" i="12"/>
  <c r="T20" i="12" s="1"/>
  <c r="J20" i="12"/>
  <c r="R19" i="12"/>
  <c r="Q19" i="12"/>
  <c r="R18" i="12"/>
  <c r="Q18" i="12"/>
  <c r="J18" i="12"/>
  <c r="R17" i="12"/>
  <c r="Q17" i="12"/>
  <c r="AE14" i="12"/>
  <c r="O10" i="12"/>
  <c r="R9" i="12"/>
  <c r="Q9" i="12"/>
  <c r="R8" i="12"/>
  <c r="Q8" i="12"/>
  <c r="R7" i="12"/>
  <c r="Q7" i="12"/>
  <c r="Q6" i="12"/>
  <c r="M4" i="12"/>
  <c r="L4" i="12"/>
  <c r="K4" i="12"/>
  <c r="E18" i="43"/>
  <c r="V21" i="35"/>
  <c r="U21" i="35"/>
  <c r="T21" i="35"/>
  <c r="Q21" i="35"/>
  <c r="L21" i="35"/>
  <c r="K21" i="35"/>
  <c r="J21" i="35"/>
  <c r="I21" i="35"/>
  <c r="G21" i="35"/>
  <c r="AF20" i="35"/>
  <c r="AE20" i="35"/>
  <c r="AD20" i="35"/>
  <c r="AC20" i="35"/>
  <c r="AA20" i="35"/>
  <c r="R20" i="35"/>
  <c r="W20" i="35" s="1"/>
  <c r="Y20" i="35" s="1"/>
  <c r="M20" i="35"/>
  <c r="O20" i="35" s="1"/>
  <c r="AF19" i="35"/>
  <c r="AE19" i="35"/>
  <c r="AD19" i="35"/>
  <c r="AA19" i="35"/>
  <c r="M19" i="35"/>
  <c r="R19" i="35" s="1"/>
  <c r="AF18" i="35"/>
  <c r="AE18" i="35"/>
  <c r="AD18" i="35"/>
  <c r="AC18" i="35"/>
  <c r="AA18" i="35"/>
  <c r="H18" i="35"/>
  <c r="H21" i="35" s="1"/>
  <c r="AF17" i="35"/>
  <c r="AE17" i="35"/>
  <c r="AD17" i="35"/>
  <c r="AC17" i="35"/>
  <c r="AA17" i="35"/>
  <c r="R17" i="35"/>
  <c r="AB17" i="35" s="1"/>
  <c r="M17" i="35"/>
  <c r="O17" i="35" s="1"/>
  <c r="AE16" i="35"/>
  <c r="AD16" i="35"/>
  <c r="AC16" i="35"/>
  <c r="AB16" i="35"/>
  <c r="AA16" i="35"/>
  <c r="AA21" i="35" s="1"/>
  <c r="M16" i="35"/>
  <c r="O16" i="35" s="1"/>
  <c r="AG15" i="35"/>
  <c r="W15" i="35"/>
  <c r="M15" i="35"/>
  <c r="M10" i="35"/>
  <c r="O10" i="35" s="1"/>
  <c r="M9" i="35"/>
  <c r="O9" i="35" s="1"/>
  <c r="M8" i="35"/>
  <c r="O8" i="35" s="1"/>
  <c r="AA7" i="35"/>
  <c r="Q7" i="35"/>
  <c r="M7" i="35"/>
  <c r="O7" i="35" s="1"/>
  <c r="G7" i="35"/>
  <c r="M6" i="35"/>
  <c r="R6" i="35" s="1"/>
  <c r="W6" i="35" s="1"/>
  <c r="BT48" i="11"/>
  <c r="BS48" i="11"/>
  <c r="BR48" i="11"/>
  <c r="BU47" i="11"/>
  <c r="BU48" i="11" s="1"/>
  <c r="BY45" i="11"/>
  <c r="BY47" i="11" s="1"/>
  <c r="BX45" i="11"/>
  <c r="BZ41" i="11"/>
  <c r="BZ43" i="11" s="1"/>
  <c r="BY41" i="11"/>
  <c r="BZ40" i="11"/>
  <c r="CB36" i="11"/>
  <c r="CB35" i="11"/>
  <c r="BY34" i="11"/>
  <c r="BY37" i="11" s="1"/>
  <c r="CL28" i="11"/>
  <c r="BX28" i="11"/>
  <c r="CL27" i="11"/>
  <c r="BX27" i="11"/>
  <c r="BY19" i="11" s="1"/>
  <c r="CN25" i="11"/>
  <c r="CM25" i="11"/>
  <c r="CL25" i="11"/>
  <c r="W25" i="11"/>
  <c r="V25" i="11"/>
  <c r="U25" i="11"/>
  <c r="R25" i="11"/>
  <c r="L25" i="11"/>
  <c r="K25" i="11"/>
  <c r="J25" i="11"/>
  <c r="I25" i="11"/>
  <c r="G25" i="11"/>
  <c r="CO24" i="11"/>
  <c r="CA24" i="11"/>
  <c r="BZ24" i="11"/>
  <c r="BY24" i="11"/>
  <c r="BX24" i="11"/>
  <c r="BV24" i="11"/>
  <c r="CJ24" i="11" s="1"/>
  <c r="BU24" i="11"/>
  <c r="CI24" i="11" s="1"/>
  <c r="CK23" i="11"/>
  <c r="CJ23" i="11"/>
  <c r="BW23" i="11"/>
  <c r="BU23" i="11"/>
  <c r="CI23" i="11" s="1"/>
  <c r="AH23" i="11"/>
  <c r="BD23" i="11" s="1"/>
  <c r="AG23" i="11"/>
  <c r="BC23" i="11" s="1"/>
  <c r="AF23" i="11"/>
  <c r="BB23" i="11" s="1"/>
  <c r="AC23" i="11"/>
  <c r="AY23" i="11" s="1"/>
  <c r="M23" i="11"/>
  <c r="S23" i="11" s="1"/>
  <c r="AH22" i="11"/>
  <c r="AS22" i="11" s="1"/>
  <c r="CA22" i="11" s="1"/>
  <c r="AG22" i="11"/>
  <c r="BC22" i="11" s="1"/>
  <c r="AF22" i="11"/>
  <c r="BB22" i="11" s="1"/>
  <c r="AE22" i="11"/>
  <c r="AP22" i="11" s="1"/>
  <c r="BX22" i="11" s="1"/>
  <c r="AC22" i="11"/>
  <c r="AY22" i="11" s="1"/>
  <c r="H22" i="11"/>
  <c r="H25" i="11" s="1"/>
  <c r="AH21" i="11"/>
  <c r="AS21" i="11" s="1"/>
  <c r="CA21" i="11" s="1"/>
  <c r="AG21" i="11"/>
  <c r="BC21" i="11" s="1"/>
  <c r="AF21" i="11"/>
  <c r="BB21" i="11" s="1"/>
  <c r="AE21" i="11"/>
  <c r="AP21" i="11" s="1"/>
  <c r="BX21" i="11" s="1"/>
  <c r="AC21" i="11"/>
  <c r="AN21" i="11" s="1"/>
  <c r="M21" i="11"/>
  <c r="S21" i="11" s="1"/>
  <c r="AH20" i="11"/>
  <c r="AG20" i="11"/>
  <c r="AR20" i="11" s="1"/>
  <c r="BZ20" i="11" s="1"/>
  <c r="AF20" i="11"/>
  <c r="BB20" i="11" s="1"/>
  <c r="AE20" i="11"/>
  <c r="AP20" i="11" s="1"/>
  <c r="BX20" i="11" s="1"/>
  <c r="AC20" i="11"/>
  <c r="S20" i="11"/>
  <c r="AD20" i="11" s="1"/>
  <c r="AO20" i="11" s="1"/>
  <c r="M20" i="11"/>
  <c r="O20" i="11" s="1"/>
  <c r="BB19" i="11"/>
  <c r="AQ19" i="11"/>
  <c r="AG19" i="11"/>
  <c r="BC19" i="11" s="1"/>
  <c r="AF19" i="11"/>
  <c r="AE19" i="11"/>
  <c r="BA19" i="11" s="1"/>
  <c r="AC19" i="11"/>
  <c r="AY19" i="11" s="1"/>
  <c r="S19" i="11"/>
  <c r="O19" i="11"/>
  <c r="M19" i="11"/>
  <c r="AO19" i="11" s="1"/>
  <c r="BP17" i="11"/>
  <c r="BE17" i="11"/>
  <c r="AT17" i="11"/>
  <c r="AI17" i="11"/>
  <c r="CI16" i="11"/>
  <c r="BU16" i="11"/>
  <c r="BJ16" i="11"/>
  <c r="CJ12" i="11"/>
  <c r="CI12" i="11"/>
  <c r="BW12" i="11"/>
  <c r="BW24" i="11" s="1"/>
  <c r="CR11" i="11"/>
  <c r="CR23" i="11" s="1"/>
  <c r="CD11" i="11"/>
  <c r="CD23" i="11" s="1"/>
  <c r="BU11" i="11"/>
  <c r="CB11" i="11" s="1"/>
  <c r="BJ11" i="11"/>
  <c r="S11" i="11"/>
  <c r="X11" i="11" s="1"/>
  <c r="M11" i="11"/>
  <c r="O11" i="11" s="1"/>
  <c r="BU10" i="11"/>
  <c r="CI10" i="11" s="1"/>
  <c r="BJ10" i="11"/>
  <c r="Q10" i="11"/>
  <c r="M10" i="11"/>
  <c r="AO10" i="11" s="1"/>
  <c r="AT10" i="11" s="1"/>
  <c r="BU9" i="11"/>
  <c r="CI9" i="11" s="1"/>
  <c r="BJ9" i="11"/>
  <c r="M9" i="11"/>
  <c r="S9" i="11" s="1"/>
  <c r="X9" i="11" s="1"/>
  <c r="BU8" i="11"/>
  <c r="CI8" i="11" s="1"/>
  <c r="BJ8" i="11"/>
  <c r="AO8" i="11"/>
  <c r="AT8" i="11" s="1"/>
  <c r="Q8" i="11"/>
  <c r="M8" i="11"/>
  <c r="S8" i="11" s="1"/>
  <c r="X8" i="11" s="1"/>
  <c r="BU7" i="11"/>
  <c r="CI7" i="11" s="1"/>
  <c r="BJ7" i="11"/>
  <c r="M7" i="11"/>
  <c r="S7" i="11" s="1"/>
  <c r="X7" i="11" s="1"/>
  <c r="H20" i="34"/>
  <c r="I19" i="34"/>
  <c r="H19" i="34"/>
  <c r="F12" i="34"/>
  <c r="H12" i="34" s="1"/>
  <c r="M10" i="34"/>
  <c r="I10" i="34"/>
  <c r="J10" i="34" s="1"/>
  <c r="H9" i="34"/>
  <c r="H18" i="34" s="1"/>
  <c r="H28" i="10"/>
  <c r="H27" i="10"/>
  <c r="H20" i="10"/>
  <c r="H19" i="10"/>
  <c r="T16" i="10"/>
  <c r="N7" i="9" s="1"/>
  <c r="S16" i="10"/>
  <c r="R16" i="10"/>
  <c r="R13" i="10"/>
  <c r="Q13" i="10"/>
  <c r="F10" i="10"/>
  <c r="I9" i="10" s="1"/>
  <c r="I8" i="10"/>
  <c r="M8" i="10" s="1"/>
  <c r="H7" i="10"/>
  <c r="H18" i="10" s="1"/>
  <c r="Q30" i="9"/>
  <c r="F28" i="9"/>
  <c r="F29" i="9" s="1"/>
  <c r="J26" i="9"/>
  <c r="I26" i="9"/>
  <c r="G26" i="9"/>
  <c r="F26" i="9"/>
  <c r="M4" i="9"/>
  <c r="L4" i="9"/>
  <c r="J74" i="8"/>
  <c r="I74" i="8"/>
  <c r="H74" i="8"/>
  <c r="H75" i="8" s="1"/>
  <c r="H73" i="8"/>
  <c r="J73" i="8" s="1"/>
  <c r="J72" i="8"/>
  <c r="I72" i="8"/>
  <c r="H64" i="8"/>
  <c r="H68" i="8" s="1"/>
  <c r="G64" i="8"/>
  <c r="G68" i="8" s="1"/>
  <c r="F64" i="8"/>
  <c r="F68" i="8" s="1"/>
  <c r="AC49" i="8"/>
  <c r="Z49" i="8"/>
  <c r="V49" i="8"/>
  <c r="W49" i="8" s="1"/>
  <c r="Y49" i="8" s="1"/>
  <c r="AC48" i="8"/>
  <c r="Z48" i="8"/>
  <c r="V48" i="8"/>
  <c r="W48" i="8" s="1"/>
  <c r="Y48" i="8" s="1"/>
  <c r="AC47" i="8"/>
  <c r="Z47" i="8"/>
  <c r="V47" i="8"/>
  <c r="W47" i="8" s="1"/>
  <c r="Y47" i="8" s="1"/>
  <c r="J47" i="8"/>
  <c r="J51" i="8" s="1"/>
  <c r="J50" i="8" s="1"/>
  <c r="I47" i="8"/>
  <c r="I51" i="8" s="1"/>
  <c r="I50" i="8" s="1"/>
  <c r="I58" i="8" s="1"/>
  <c r="I59" i="8" s="1"/>
  <c r="H47" i="8"/>
  <c r="H51" i="8" s="1"/>
  <c r="H50" i="8" s="1"/>
  <c r="G47" i="8"/>
  <c r="G51" i="8" s="1"/>
  <c r="G50" i="8" s="1"/>
  <c r="F47" i="8"/>
  <c r="F51" i="8" s="1"/>
  <c r="AC46" i="8"/>
  <c r="Z46" i="8"/>
  <c r="V46" i="8"/>
  <c r="W46" i="8" s="1"/>
  <c r="Y46" i="8" s="1"/>
  <c r="AC45" i="8"/>
  <c r="Z45" i="8"/>
  <c r="V45" i="8"/>
  <c r="W45" i="8" s="1"/>
  <c r="Y45" i="8" s="1"/>
  <c r="AC44" i="8"/>
  <c r="Z44" i="8"/>
  <c r="V44" i="8"/>
  <c r="W44" i="8" s="1"/>
  <c r="Y44" i="8" s="1"/>
  <c r="AC43" i="8"/>
  <c r="Z43" i="8"/>
  <c r="V43" i="8"/>
  <c r="W43" i="8" s="1"/>
  <c r="Y43" i="8" s="1"/>
  <c r="F36" i="8"/>
  <c r="H31" i="8"/>
  <c r="G31" i="8"/>
  <c r="F31" i="8"/>
  <c r="H30" i="8"/>
  <c r="H33" i="8" s="1"/>
  <c r="H34" i="8" s="1"/>
  <c r="G30" i="8"/>
  <c r="G33" i="8" s="1"/>
  <c r="G34" i="8" s="1"/>
  <c r="F30" i="8"/>
  <c r="F33" i="8" s="1"/>
  <c r="H29" i="8"/>
  <c r="G29" i="8"/>
  <c r="F29" i="8"/>
  <c r="F16" i="8"/>
  <c r="N13" i="8"/>
  <c r="N14" i="8" s="1"/>
  <c r="N17" i="8" s="1"/>
  <c r="N18" i="8" s="1"/>
  <c r="J13" i="8"/>
  <c r="J14" i="8" s="1"/>
  <c r="I13" i="8"/>
  <c r="I14" i="8" s="1"/>
  <c r="H13" i="8"/>
  <c r="H14" i="8" s="1"/>
  <c r="G11" i="8"/>
  <c r="G13" i="8" s="1"/>
  <c r="G14" i="8" s="1"/>
  <c r="F11" i="8"/>
  <c r="F13" i="8" s="1"/>
  <c r="J9" i="8"/>
  <c r="H7" i="8"/>
  <c r="J7" i="8" s="1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308" i="6"/>
  <c r="F308" i="6"/>
  <c r="G305" i="6"/>
  <c r="F305" i="6"/>
  <c r="G303" i="6"/>
  <c r="F303" i="6"/>
  <c r="G302" i="6"/>
  <c r="F302" i="6"/>
  <c r="G301" i="6"/>
  <c r="F301" i="6"/>
  <c r="G299" i="6"/>
  <c r="F299" i="6"/>
  <c r="G298" i="6"/>
  <c r="F298" i="6"/>
  <c r="G297" i="6"/>
  <c r="F297" i="6"/>
  <c r="G296" i="6"/>
  <c r="F296" i="6"/>
  <c r="G294" i="6"/>
  <c r="F294" i="6"/>
  <c r="G293" i="6"/>
  <c r="F293" i="6"/>
  <c r="G292" i="6"/>
  <c r="F292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F281" i="6"/>
  <c r="G280" i="6"/>
  <c r="F280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G270" i="6"/>
  <c r="F270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F229" i="6"/>
  <c r="F228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G217" i="6"/>
  <c r="F217" i="6"/>
  <c r="G216" i="6"/>
  <c r="F216" i="6"/>
  <c r="G215" i="6"/>
  <c r="F215" i="6"/>
  <c r="G214" i="6"/>
  <c r="F214" i="6"/>
  <c r="G213" i="6"/>
  <c r="G212" i="6"/>
  <c r="F212" i="6"/>
  <c r="G211" i="6"/>
  <c r="F211" i="6"/>
  <c r="G204" i="6"/>
  <c r="F204" i="6"/>
  <c r="G202" i="6"/>
  <c r="F202" i="6"/>
  <c r="G201" i="6"/>
  <c r="F201" i="6"/>
  <c r="G200" i="6"/>
  <c r="F200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89" i="6"/>
  <c r="F189" i="6"/>
  <c r="G188" i="6"/>
  <c r="F188" i="6"/>
  <c r="G187" i="6"/>
  <c r="F187" i="6"/>
  <c r="G185" i="6"/>
  <c r="F185" i="6"/>
  <c r="G181" i="6"/>
  <c r="F181" i="6"/>
  <c r="G179" i="6"/>
  <c r="F179" i="6"/>
  <c r="G177" i="6"/>
  <c r="F177" i="6"/>
  <c r="G176" i="6"/>
  <c r="F176" i="6"/>
  <c r="G173" i="6"/>
  <c r="F173" i="6"/>
  <c r="G171" i="6"/>
  <c r="F171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2" i="6"/>
  <c r="F152" i="6"/>
  <c r="G151" i="6"/>
  <c r="F151" i="6"/>
  <c r="G150" i="6"/>
  <c r="F150" i="6"/>
  <c r="G149" i="6"/>
  <c r="F149" i="6"/>
  <c r="G147" i="6"/>
  <c r="F147" i="6"/>
  <c r="G146" i="6"/>
  <c r="F146" i="6"/>
  <c r="G145" i="6"/>
  <c r="F145" i="6"/>
  <c r="G144" i="6"/>
  <c r="F144" i="6"/>
  <c r="G143" i="6"/>
  <c r="G142" i="6"/>
  <c r="F142" i="6"/>
  <c r="G140" i="6"/>
  <c r="F140" i="6"/>
  <c r="G139" i="6"/>
  <c r="F139" i="6"/>
  <c r="G138" i="6"/>
  <c r="F138" i="6"/>
  <c r="G137" i="6"/>
  <c r="F137" i="6"/>
  <c r="G136" i="6"/>
  <c r="G135" i="6"/>
  <c r="F135" i="6"/>
  <c r="G134" i="6"/>
  <c r="F134" i="6"/>
  <c r="G133" i="6"/>
  <c r="F133" i="6"/>
  <c r="G132" i="6"/>
  <c r="F132" i="6"/>
  <c r="G131" i="6"/>
  <c r="F131" i="6"/>
  <c r="G130" i="6"/>
  <c r="G129" i="6"/>
  <c r="F129" i="6"/>
  <c r="G128" i="6"/>
  <c r="F128" i="6"/>
  <c r="G127" i="6"/>
  <c r="F127" i="6"/>
  <c r="G126" i="6"/>
  <c r="F126" i="6"/>
  <c r="G125" i="6"/>
  <c r="F125" i="6"/>
  <c r="G124" i="6"/>
  <c r="G123" i="6"/>
  <c r="F123" i="6"/>
  <c r="G119" i="6"/>
  <c r="F119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5" i="6"/>
  <c r="F75" i="6"/>
  <c r="G74" i="6"/>
  <c r="F74" i="6"/>
  <c r="G72" i="6"/>
  <c r="F72" i="6"/>
  <c r="G71" i="6"/>
  <c r="F71" i="6"/>
  <c r="G70" i="6"/>
  <c r="F70" i="6"/>
  <c r="G69" i="6"/>
  <c r="F69" i="6"/>
  <c r="G67" i="6"/>
  <c r="F67" i="6"/>
  <c r="G66" i="6"/>
  <c r="F66" i="6"/>
  <c r="G65" i="6"/>
  <c r="F65" i="6"/>
  <c r="G64" i="6"/>
  <c r="F64" i="6"/>
  <c r="G63" i="6"/>
  <c r="F63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6" i="6"/>
  <c r="F46" i="6"/>
  <c r="G45" i="6"/>
  <c r="F45" i="6"/>
  <c r="G44" i="6"/>
  <c r="F44" i="6"/>
  <c r="G43" i="6"/>
  <c r="F43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1" i="6"/>
  <c r="F31" i="6"/>
  <c r="G30" i="6"/>
  <c r="F30" i="6"/>
  <c r="G29" i="6"/>
  <c r="F29" i="6"/>
  <c r="G28" i="6"/>
  <c r="F28" i="6"/>
  <c r="G281" i="6"/>
  <c r="G26" i="6"/>
  <c r="F26" i="6"/>
  <c r="F25" i="6"/>
  <c r="G24" i="6"/>
  <c r="F24" i="6"/>
  <c r="G23" i="6"/>
  <c r="F23" i="6"/>
  <c r="L24" i="6"/>
  <c r="F213" i="6" s="1"/>
  <c r="G22" i="6"/>
  <c r="F22" i="6"/>
  <c r="F21" i="6"/>
  <c r="L22" i="6"/>
  <c r="M23" i="6" s="1"/>
  <c r="G229" i="6" s="1"/>
  <c r="G20" i="6"/>
  <c r="F20" i="6"/>
  <c r="F19" i="6"/>
  <c r="G18" i="6"/>
  <c r="F18" i="6"/>
  <c r="G17" i="6"/>
  <c r="F17" i="6"/>
  <c r="G16" i="6"/>
  <c r="F16" i="6"/>
  <c r="M17" i="6"/>
  <c r="L18" i="6" s="1"/>
  <c r="G15" i="6"/>
  <c r="F15" i="6"/>
  <c r="G14" i="6"/>
  <c r="F14" i="6"/>
  <c r="F13" i="6"/>
  <c r="G12" i="6"/>
  <c r="F12" i="6"/>
  <c r="M11" i="6"/>
  <c r="L14" i="6" s="1"/>
  <c r="F11" i="6"/>
  <c r="M9" i="6"/>
  <c r="G11" i="6" s="1"/>
  <c r="G9" i="6"/>
  <c r="F9" i="6"/>
  <c r="L8" i="6"/>
  <c r="M7" i="6" s="1"/>
  <c r="G8" i="6"/>
  <c r="F8" i="6"/>
  <c r="M5" i="6"/>
  <c r="L6" i="6" s="1"/>
  <c r="M19" i="6"/>
  <c r="G57" i="42"/>
  <c r="E57" i="42"/>
  <c r="G53" i="42"/>
  <c r="N48" i="42"/>
  <c r="M48" i="42"/>
  <c r="J47" i="42"/>
  <c r="N47" i="42" s="1"/>
  <c r="N39" i="42"/>
  <c r="N38" i="42"/>
  <c r="G29" i="42"/>
  <c r="E25" i="42"/>
  <c r="G25" i="42" s="1"/>
  <c r="G31" i="42" s="1"/>
  <c r="E17" i="42"/>
  <c r="G18" i="42" s="1"/>
  <c r="G19" i="42" s="1"/>
  <c r="E9" i="42"/>
  <c r="E27" i="42" s="1"/>
  <c r="G27" i="42" s="1"/>
  <c r="F30" i="5"/>
  <c r="F4" i="5" s="1"/>
  <c r="N5" i="5"/>
  <c r="N4" i="8" s="1"/>
  <c r="N5" i="9" s="1"/>
  <c r="N4" i="5"/>
  <c r="M4" i="5"/>
  <c r="L4" i="5"/>
  <c r="K4" i="5"/>
  <c r="J4" i="5"/>
  <c r="I4" i="5"/>
  <c r="H4" i="5"/>
  <c r="G4" i="5"/>
  <c r="F27" i="4"/>
  <c r="F28" i="4" s="1"/>
  <c r="F26" i="4"/>
  <c r="G23" i="4"/>
  <c r="H23" i="4" s="1"/>
  <c r="G22" i="4"/>
  <c r="H22" i="4" s="1"/>
  <c r="K22" i="4" s="1"/>
  <c r="G21" i="4"/>
  <c r="H21" i="4" s="1"/>
  <c r="G20" i="4"/>
  <c r="H20" i="4" s="1"/>
  <c r="G19" i="4"/>
  <c r="H19" i="4" s="1"/>
  <c r="I19" i="4" s="1"/>
  <c r="G18" i="4"/>
  <c r="H18" i="4" s="1"/>
  <c r="K18" i="4" s="1"/>
  <c r="N17" i="4"/>
  <c r="F16" i="4"/>
  <c r="G16" i="4" s="1"/>
  <c r="H16" i="4" s="1"/>
  <c r="H15" i="4"/>
  <c r="K15" i="4" s="1"/>
  <c r="G15" i="4"/>
  <c r="N14" i="4"/>
  <c r="G13" i="4"/>
  <c r="H13" i="4" s="1"/>
  <c r="F13" i="4"/>
  <c r="H12" i="4"/>
  <c r="K12" i="4" s="1"/>
  <c r="G12" i="4"/>
  <c r="F11" i="4"/>
  <c r="G11" i="4" s="1"/>
  <c r="H11" i="4" s="1"/>
  <c r="G10" i="4"/>
  <c r="H10" i="4" s="1"/>
  <c r="N9" i="4"/>
  <c r="F8" i="4"/>
  <c r="G8" i="4" s="1"/>
  <c r="H8" i="4" s="1"/>
  <c r="I8" i="4" s="1"/>
  <c r="J8" i="4" s="1"/>
  <c r="K8" i="4" s="1"/>
  <c r="L8" i="4" s="1"/>
  <c r="N8" i="4" s="1"/>
  <c r="G7" i="4"/>
  <c r="G28" i="9" s="1"/>
  <c r="G29" i="9" s="1"/>
  <c r="M4" i="4"/>
  <c r="L167" i="44"/>
  <c r="I166" i="44"/>
  <c r="L164" i="44"/>
  <c r="I163" i="44"/>
  <c r="G161" i="44"/>
  <c r="G4" i="44" s="1"/>
  <c r="H4" i="44" s="1"/>
  <c r="I160" i="44"/>
  <c r="K158" i="44"/>
  <c r="I157" i="44"/>
  <c r="K155" i="44"/>
  <c r="J154" i="44"/>
  <c r="L153" i="44"/>
  <c r="L152" i="44"/>
  <c r="I151" i="44"/>
  <c r="K149" i="44"/>
  <c r="J148" i="44"/>
  <c r="K147" i="44"/>
  <c r="K146" i="44"/>
  <c r="I145" i="44"/>
  <c r="J143" i="44"/>
  <c r="K142" i="44"/>
  <c r="K141" i="44"/>
  <c r="I140" i="44"/>
  <c r="J138" i="44"/>
  <c r="I137" i="44"/>
  <c r="K136" i="44"/>
  <c r="I135" i="44"/>
  <c r="I134" i="44"/>
  <c r="K133" i="44"/>
  <c r="K130" i="44"/>
  <c r="L129" i="44"/>
  <c r="I128" i="44"/>
  <c r="K127" i="44"/>
  <c r="E124" i="44"/>
  <c r="D124" i="44"/>
  <c r="E123" i="44"/>
  <c r="D123" i="44"/>
  <c r="E122" i="44"/>
  <c r="D122" i="44"/>
  <c r="E121" i="44"/>
  <c r="D121" i="44"/>
  <c r="E119" i="44"/>
  <c r="D119" i="44"/>
  <c r="E118" i="44"/>
  <c r="D118" i="44"/>
  <c r="D117" i="44"/>
  <c r="E116" i="44"/>
  <c r="D116" i="44"/>
  <c r="E115" i="44"/>
  <c r="D115" i="44"/>
  <c r="E114" i="44"/>
  <c r="D114" i="44"/>
  <c r="E113" i="44"/>
  <c r="D113" i="44"/>
  <c r="D112" i="44"/>
  <c r="K110" i="44"/>
  <c r="E110" i="44"/>
  <c r="D110" i="44"/>
  <c r="L109" i="44"/>
  <c r="E109" i="44"/>
  <c r="D109" i="44"/>
  <c r="C109" i="44"/>
  <c r="C110" i="44" s="1"/>
  <c r="D108" i="44"/>
  <c r="L106" i="44"/>
  <c r="E106" i="44"/>
  <c r="D106" i="44"/>
  <c r="K105" i="44"/>
  <c r="E105" i="44"/>
  <c r="D105" i="44"/>
  <c r="L104" i="44"/>
  <c r="E104" i="44"/>
  <c r="D104" i="44"/>
  <c r="I103" i="44"/>
  <c r="E103" i="44"/>
  <c r="D103" i="44"/>
  <c r="C103" i="44"/>
  <c r="C104" i="44" s="1"/>
  <c r="C105" i="44" s="1"/>
  <c r="C106" i="44" s="1"/>
  <c r="D102" i="44"/>
  <c r="L100" i="44"/>
  <c r="E100" i="44"/>
  <c r="D100" i="44"/>
  <c r="K99" i="44"/>
  <c r="E99" i="44"/>
  <c r="D99" i="44"/>
  <c r="L98" i="44"/>
  <c r="E98" i="44"/>
  <c r="D98" i="44"/>
  <c r="I97" i="44"/>
  <c r="E97" i="44"/>
  <c r="D97" i="44"/>
  <c r="C97" i="44"/>
  <c r="C98" i="44" s="1"/>
  <c r="C99" i="44" s="1"/>
  <c r="C100" i="44" s="1"/>
  <c r="D96" i="44"/>
  <c r="L94" i="44"/>
  <c r="E94" i="44"/>
  <c r="D94" i="44"/>
  <c r="K93" i="44"/>
  <c r="E93" i="44"/>
  <c r="D93" i="44"/>
  <c r="L92" i="44"/>
  <c r="E92" i="44"/>
  <c r="D92" i="44"/>
  <c r="C92" i="44"/>
  <c r="C93" i="44" s="1"/>
  <c r="C94" i="44" s="1"/>
  <c r="I91" i="44"/>
  <c r="E91" i="44"/>
  <c r="D91" i="44"/>
  <c r="C91" i="44"/>
  <c r="D90" i="44"/>
  <c r="H88" i="44"/>
  <c r="E88" i="44"/>
  <c r="D88" i="44"/>
  <c r="H87" i="44"/>
  <c r="E87" i="44"/>
  <c r="D87" i="44"/>
  <c r="H77" i="44"/>
  <c r="E77" i="44"/>
  <c r="D77" i="44"/>
  <c r="H76" i="44"/>
  <c r="E76" i="44"/>
  <c r="D76" i="44"/>
  <c r="H75" i="44"/>
  <c r="E75" i="44"/>
  <c r="D75" i="44"/>
  <c r="H74" i="44"/>
  <c r="E74" i="44"/>
  <c r="D74" i="44"/>
  <c r="I61" i="44"/>
  <c r="I59" i="44"/>
  <c r="H57" i="44"/>
  <c r="E57" i="44"/>
  <c r="D57" i="44"/>
  <c r="H56" i="44"/>
  <c r="E56" i="44"/>
  <c r="D56" i="44"/>
  <c r="I55" i="44"/>
  <c r="H55" i="44"/>
  <c r="E55" i="44"/>
  <c r="D55" i="44"/>
  <c r="H54" i="44"/>
  <c r="E54" i="44"/>
  <c r="D54" i="44"/>
  <c r="H53" i="44"/>
  <c r="E53" i="44"/>
  <c r="D53" i="44"/>
  <c r="H52" i="44"/>
  <c r="E52" i="44"/>
  <c r="D52" i="44"/>
  <c r="I51" i="44"/>
  <c r="H51" i="44"/>
  <c r="E51" i="44"/>
  <c r="D51" i="44"/>
  <c r="H50" i="44"/>
  <c r="E50" i="44"/>
  <c r="D50" i="44"/>
  <c r="I49" i="44"/>
  <c r="H49" i="44"/>
  <c r="E49" i="44"/>
  <c r="D49" i="44"/>
  <c r="I47" i="44"/>
  <c r="I43" i="44"/>
  <c r="H42" i="44"/>
  <c r="E42" i="44"/>
  <c r="D42" i="44"/>
  <c r="I41" i="44"/>
  <c r="H41" i="44"/>
  <c r="E41" i="44"/>
  <c r="D41" i="44"/>
  <c r="H40" i="44"/>
  <c r="E40" i="44"/>
  <c r="D40" i="44"/>
  <c r="I39" i="44"/>
  <c r="H39" i="44"/>
  <c r="E39" i="44"/>
  <c r="D39" i="44"/>
  <c r="C39" i="44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4" i="44" s="1"/>
  <c r="C65" i="44" s="1"/>
  <c r="C66" i="44" s="1"/>
  <c r="C67" i="44" s="1"/>
  <c r="C68" i="44" s="1"/>
  <c r="C69" i="44" s="1"/>
  <c r="C70" i="44" s="1"/>
  <c r="C71" i="44" s="1"/>
  <c r="C72" i="44" s="1"/>
  <c r="C73" i="44" s="1"/>
  <c r="C74" i="44" s="1"/>
  <c r="C75" i="44" s="1"/>
  <c r="C76" i="44" s="1"/>
  <c r="C77" i="44" s="1"/>
  <c r="C78" i="44" s="1"/>
  <c r="C79" i="44" s="1"/>
  <c r="C80" i="44" s="1"/>
  <c r="C81" i="44" s="1"/>
  <c r="C83" i="44" s="1"/>
  <c r="C84" i="44" s="1"/>
  <c r="C85" i="44" s="1"/>
  <c r="C86" i="44" s="1"/>
  <c r="C87" i="44" s="1"/>
  <c r="C88" i="44" s="1"/>
  <c r="L35" i="44"/>
  <c r="E35" i="44"/>
  <c r="D35" i="44"/>
  <c r="L34" i="44"/>
  <c r="E34" i="44"/>
  <c r="D34" i="44"/>
  <c r="L33" i="44"/>
  <c r="E33" i="44"/>
  <c r="D33" i="44"/>
  <c r="L32" i="44"/>
  <c r="E32" i="44"/>
  <c r="D32" i="44"/>
  <c r="L31" i="44"/>
  <c r="E31" i="44"/>
  <c r="D31" i="44"/>
  <c r="L30" i="44"/>
  <c r="E30" i="44"/>
  <c r="D30" i="44"/>
  <c r="L29" i="44"/>
  <c r="E29" i="44"/>
  <c r="D29" i="44"/>
  <c r="L28" i="44"/>
  <c r="E28" i="44"/>
  <c r="D28" i="44"/>
  <c r="L27" i="44"/>
  <c r="L4" i="44" s="1"/>
  <c r="E27" i="44"/>
  <c r="D27" i="44"/>
  <c r="K26" i="44"/>
  <c r="E26" i="44"/>
  <c r="D26" i="44"/>
  <c r="D25" i="44"/>
  <c r="K23" i="44"/>
  <c r="E23" i="44"/>
  <c r="D23" i="44"/>
  <c r="K22" i="44"/>
  <c r="E22" i="44"/>
  <c r="D22" i="44"/>
  <c r="K21" i="44"/>
  <c r="E21" i="44"/>
  <c r="D21" i="44"/>
  <c r="K20" i="44"/>
  <c r="E20" i="44"/>
  <c r="D20" i="44"/>
  <c r="K19" i="44"/>
  <c r="E19" i="44"/>
  <c r="D19" i="44"/>
  <c r="K18" i="44"/>
  <c r="E18" i="44"/>
  <c r="D18" i="44"/>
  <c r="D17" i="44"/>
  <c r="K16" i="44"/>
  <c r="E16" i="44"/>
  <c r="D16" i="44"/>
  <c r="K15" i="44"/>
  <c r="E15" i="44"/>
  <c r="D15" i="44"/>
  <c r="D14" i="44"/>
  <c r="K13" i="44"/>
  <c r="E13" i="44"/>
  <c r="D13" i="44"/>
  <c r="K12" i="44"/>
  <c r="E12" i="44"/>
  <c r="D12" i="44"/>
  <c r="K11" i="44"/>
  <c r="E11" i="44"/>
  <c r="D11" i="44"/>
  <c r="K10" i="44"/>
  <c r="E10" i="44"/>
  <c r="D10" i="44"/>
  <c r="D9" i="44"/>
  <c r="K8" i="44"/>
  <c r="E8" i="44"/>
  <c r="D8" i="44"/>
  <c r="I7" i="44"/>
  <c r="E7" i="44"/>
  <c r="D7" i="44"/>
  <c r="D6" i="44"/>
  <c r="F4" i="44"/>
  <c r="L1" i="44"/>
  <c r="K1" i="44"/>
  <c r="J1" i="44"/>
  <c r="I1" i="44"/>
  <c r="M311" i="31"/>
  <c r="M310" i="31"/>
  <c r="K238" i="31"/>
  <c r="K217" i="31"/>
  <c r="K166" i="31"/>
  <c r="K124" i="31"/>
  <c r="M124" i="31" s="1"/>
  <c r="K122" i="31"/>
  <c r="M122" i="31" s="1"/>
  <c r="O105" i="31"/>
  <c r="O104" i="31"/>
  <c r="O103" i="31"/>
  <c r="O101" i="31"/>
  <c r="O100" i="31"/>
  <c r="O99" i="31"/>
  <c r="O98" i="31"/>
  <c r="O97" i="31"/>
  <c r="O96" i="31"/>
  <c r="O95" i="31"/>
  <c r="O94" i="31"/>
  <c r="O93" i="31"/>
  <c r="O92" i="31"/>
  <c r="O91" i="31"/>
  <c r="O90" i="31"/>
  <c r="O89" i="31"/>
  <c r="O88" i="31"/>
  <c r="O87" i="31"/>
  <c r="O86" i="31"/>
  <c r="O85" i="31"/>
  <c r="O84" i="31"/>
  <c r="O82" i="31"/>
  <c r="O80" i="31"/>
  <c r="O79" i="31"/>
  <c r="O78" i="31"/>
  <c r="O77" i="31"/>
  <c r="O76" i="31"/>
  <c r="O75" i="31"/>
  <c r="O74" i="31"/>
  <c r="O73" i="31"/>
  <c r="O72" i="31"/>
  <c r="O71" i="31"/>
  <c r="K70" i="31"/>
  <c r="L70" i="31" s="1"/>
  <c r="K69" i="31"/>
  <c r="L69" i="31" s="1"/>
  <c r="O68" i="31"/>
  <c r="O67" i="31"/>
  <c r="K67" i="31"/>
  <c r="O66" i="31"/>
  <c r="K66" i="31"/>
  <c r="O65" i="31"/>
  <c r="O64" i="31"/>
  <c r="P64" i="31" s="1"/>
  <c r="M64" i="31"/>
  <c r="O61" i="31"/>
  <c r="O60" i="31"/>
  <c r="O56" i="31"/>
  <c r="O55" i="31"/>
  <c r="O54" i="31"/>
  <c r="O53" i="31"/>
  <c r="O51" i="31"/>
  <c r="O50" i="31"/>
  <c r="O49" i="31"/>
  <c r="O48" i="31"/>
  <c r="O47" i="31"/>
  <c r="O45" i="31"/>
  <c r="O43" i="31"/>
  <c r="O42" i="31"/>
  <c r="O41" i="31"/>
  <c r="O40" i="31"/>
  <c r="O39" i="31"/>
  <c r="O38" i="31"/>
  <c r="O37" i="31"/>
  <c r="O36" i="31"/>
  <c r="O35" i="31"/>
  <c r="O34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K17" i="31"/>
  <c r="O16" i="31"/>
  <c r="K16" i="31"/>
  <c r="O15" i="31"/>
  <c r="O14" i="31"/>
  <c r="M3" i="31"/>
  <c r="T156" i="22"/>
  <c r="L74" i="22"/>
  <c r="L63" i="22"/>
  <c r="L58" i="45" s="1"/>
  <c r="M58" i="45" s="1"/>
  <c r="L61" i="22"/>
  <c r="L56" i="45" s="1"/>
  <c r="M56" i="45" s="1"/>
  <c r="V6" i="22"/>
  <c r="X8" i="22" s="1"/>
  <c r="F89" i="25"/>
  <c r="F77" i="30" s="1"/>
  <c r="H88" i="25"/>
  <c r="G88" i="25"/>
  <c r="H85" i="25"/>
  <c r="G85" i="25"/>
  <c r="F78" i="25"/>
  <c r="F76" i="25"/>
  <c r="F70" i="25"/>
  <c r="H69" i="25"/>
  <c r="G69" i="25"/>
  <c r="G59" i="25" s="1"/>
  <c r="F68" i="25"/>
  <c r="F64" i="25"/>
  <c r="H60" i="25"/>
  <c r="G60" i="25"/>
  <c r="F48" i="25"/>
  <c r="H43" i="25"/>
  <c r="G43" i="25"/>
  <c r="F40" i="25"/>
  <c r="F29" i="25"/>
  <c r="H9" i="25"/>
  <c r="G9" i="25"/>
  <c r="J21" i="39"/>
  <c r="H21" i="39"/>
  <c r="J17" i="39"/>
  <c r="F17" i="39"/>
  <c r="E17" i="39"/>
  <c r="J16" i="39"/>
  <c r="H16" i="39"/>
  <c r="G16" i="39"/>
  <c r="F16" i="39"/>
  <c r="E16" i="39"/>
  <c r="I14" i="39"/>
  <c r="K14" i="39" s="1"/>
  <c r="I12" i="39"/>
  <c r="H11" i="39"/>
  <c r="G11" i="39"/>
  <c r="F11" i="39"/>
  <c r="E11" i="39"/>
  <c r="I10" i="39"/>
  <c r="K10" i="39" s="1"/>
  <c r="I9" i="39"/>
  <c r="G7" i="39"/>
  <c r="F7" i="39"/>
  <c r="F15" i="39" s="1"/>
  <c r="E7" i="39"/>
  <c r="K6" i="39"/>
  <c r="P26" i="33"/>
  <c r="S24" i="33"/>
  <c r="V23" i="33"/>
  <c r="T23" i="33"/>
  <c r="S22" i="33"/>
  <c r="H21" i="33"/>
  <c r="K21" i="33" s="1"/>
  <c r="P18" i="33"/>
  <c r="V17" i="33"/>
  <c r="T17" i="33"/>
  <c r="S16" i="33"/>
  <c r="V15" i="33"/>
  <c r="T15" i="33"/>
  <c r="S14" i="33"/>
  <c r="S13" i="33"/>
  <c r="S12" i="33"/>
  <c r="S11" i="33"/>
  <c r="V10" i="33"/>
  <c r="T10" i="33"/>
  <c r="S9" i="33"/>
  <c r="V8" i="33"/>
  <c r="T8" i="33"/>
  <c r="H8" i="33"/>
  <c r="H10" i="33" s="1"/>
  <c r="S7" i="33"/>
  <c r="S6" i="33"/>
  <c r="U44" i="26"/>
  <c r="V43" i="26"/>
  <c r="V42" i="26"/>
  <c r="N41" i="26"/>
  <c r="N40" i="26"/>
  <c r="N39" i="26"/>
  <c r="N38" i="26"/>
  <c r="J37" i="26"/>
  <c r="J42" i="26" s="1"/>
  <c r="V36" i="26"/>
  <c r="V34" i="26"/>
  <c r="N34" i="26"/>
  <c r="N33" i="26"/>
  <c r="N32" i="26"/>
  <c r="N31" i="26"/>
  <c r="G30" i="26"/>
  <c r="N29" i="26"/>
  <c r="V28" i="26"/>
  <c r="J28" i="26"/>
  <c r="N28" i="26" s="1"/>
  <c r="N27" i="26"/>
  <c r="N26" i="26"/>
  <c r="N25" i="26"/>
  <c r="N23" i="26"/>
  <c r="V22" i="26"/>
  <c r="J22" i="26"/>
  <c r="V20" i="26"/>
  <c r="N19" i="26"/>
  <c r="N18" i="26"/>
  <c r="N17" i="26"/>
  <c r="N15" i="26"/>
  <c r="N14" i="26"/>
  <c r="V13" i="26"/>
  <c r="J13" i="26"/>
  <c r="N13" i="26" s="1"/>
  <c r="N12" i="26"/>
  <c r="N11" i="26"/>
  <c r="N10" i="26"/>
  <c r="N9" i="26"/>
  <c r="N8" i="26"/>
  <c r="N7" i="26"/>
  <c r="V6" i="26"/>
  <c r="J6" i="26"/>
  <c r="N6" i="26" s="1"/>
  <c r="F121" i="24"/>
  <c r="M120" i="24"/>
  <c r="G120" i="24"/>
  <c r="M119" i="24"/>
  <c r="E119" i="24"/>
  <c r="G119" i="24" s="1"/>
  <c r="E118" i="24"/>
  <c r="G118" i="24" s="1"/>
  <c r="J118" i="24" s="1"/>
  <c r="E116" i="24"/>
  <c r="G116" i="24" s="1"/>
  <c r="J116" i="24" s="1"/>
  <c r="E114" i="24"/>
  <c r="G114" i="24" s="1"/>
  <c r="J114" i="24" s="1"/>
  <c r="F109" i="24"/>
  <c r="M108" i="24"/>
  <c r="G108" i="24"/>
  <c r="E107" i="24"/>
  <c r="G107" i="24" s="1"/>
  <c r="G106" i="24"/>
  <c r="G105" i="24"/>
  <c r="E104" i="24"/>
  <c r="G104" i="24" s="1"/>
  <c r="J104" i="24" s="1"/>
  <c r="J103" i="24"/>
  <c r="M103" i="24" s="1"/>
  <c r="E103" i="24"/>
  <c r="J102" i="24"/>
  <c r="M102" i="24" s="1"/>
  <c r="P258" i="23" s="1"/>
  <c r="E102" i="24"/>
  <c r="E98" i="24"/>
  <c r="G97" i="24"/>
  <c r="J96" i="24"/>
  <c r="J95" i="24"/>
  <c r="O345" i="23" s="1"/>
  <c r="O344" i="23" s="1"/>
  <c r="O343" i="23" s="1"/>
  <c r="F94" i="24"/>
  <c r="G94" i="24" s="1"/>
  <c r="G93" i="24"/>
  <c r="J93" i="24" s="1"/>
  <c r="G92" i="24"/>
  <c r="M92" i="24" s="1"/>
  <c r="F92" i="24"/>
  <c r="F91" i="24"/>
  <c r="G90" i="24"/>
  <c r="M90" i="24" s="1"/>
  <c r="F86" i="24"/>
  <c r="G85" i="24"/>
  <c r="G84" i="24"/>
  <c r="G83" i="24"/>
  <c r="F59" i="24"/>
  <c r="G58" i="24"/>
  <c r="J58" i="24" s="1"/>
  <c r="M58" i="24" s="1"/>
  <c r="E57" i="24"/>
  <c r="G57" i="24" s="1"/>
  <c r="J57" i="24" s="1"/>
  <c r="M57" i="24" s="1"/>
  <c r="N22" i="23" s="1"/>
  <c r="G56" i="24"/>
  <c r="J56" i="24" s="1"/>
  <c r="M56" i="24" s="1"/>
  <c r="N21" i="23" s="1"/>
  <c r="E54" i="24"/>
  <c r="G54" i="24" s="1"/>
  <c r="J54" i="24" s="1"/>
  <c r="M54" i="24" s="1"/>
  <c r="N82" i="23" s="1"/>
  <c r="E53" i="24"/>
  <c r="G53" i="24" s="1"/>
  <c r="J53" i="24" s="1"/>
  <c r="M53" i="24" s="1"/>
  <c r="N81" i="23" s="1"/>
  <c r="E52" i="24"/>
  <c r="G52" i="24" s="1"/>
  <c r="J52" i="24" s="1"/>
  <c r="M52" i="24" s="1"/>
  <c r="N80" i="23" s="1"/>
  <c r="F48" i="24"/>
  <c r="G47" i="24"/>
  <c r="G46" i="24"/>
  <c r="G45" i="24"/>
  <c r="M44" i="24"/>
  <c r="G44" i="24"/>
  <c r="E43" i="24"/>
  <c r="G43" i="24" s="1"/>
  <c r="J43" i="24" s="1"/>
  <c r="E42" i="24"/>
  <c r="G42" i="24" s="1"/>
  <c r="J42" i="24" s="1"/>
  <c r="M42" i="24" s="1"/>
  <c r="N14" i="23" s="1"/>
  <c r="F37" i="24"/>
  <c r="G36" i="24"/>
  <c r="G35" i="24"/>
  <c r="G34" i="24"/>
  <c r="G30" i="24"/>
  <c r="J30" i="24" s="1"/>
  <c r="M30" i="24" s="1"/>
  <c r="N11" i="23" s="1"/>
  <c r="G24" i="24"/>
  <c r="J24" i="24" s="1"/>
  <c r="M24" i="24" s="1"/>
  <c r="G23" i="24"/>
  <c r="J23" i="24" s="1"/>
  <c r="M23" i="24" s="1"/>
  <c r="J21" i="24"/>
  <c r="M345" i="23" s="1"/>
  <c r="J20" i="24"/>
  <c r="M20" i="24" s="1"/>
  <c r="M299" i="23" s="1"/>
  <c r="G20" i="24"/>
  <c r="G19" i="24"/>
  <c r="J19" i="24" s="1"/>
  <c r="M19" i="24" s="1"/>
  <c r="M199" i="23" s="1"/>
  <c r="E13" i="24"/>
  <c r="J12" i="24"/>
  <c r="M12" i="24" s="1"/>
  <c r="M258" i="23" s="1"/>
  <c r="J11" i="24"/>
  <c r="F10" i="24"/>
  <c r="G10" i="24" s="1"/>
  <c r="J10" i="24" s="1"/>
  <c r="J9" i="24"/>
  <c r="J8" i="24"/>
  <c r="F7" i="24"/>
  <c r="G7" i="24" s="1"/>
  <c r="F6" i="24"/>
  <c r="G6" i="24" s="1"/>
  <c r="J6" i="24" s="1"/>
  <c r="J379" i="23"/>
  <c r="J378" i="23"/>
  <c r="J376" i="23"/>
  <c r="J375" i="23"/>
  <c r="J374" i="23"/>
  <c r="J373" i="23"/>
  <c r="J371" i="23"/>
  <c r="J370" i="23"/>
  <c r="J368" i="23"/>
  <c r="J367" i="23"/>
  <c r="J366" i="23"/>
  <c r="J365" i="23"/>
  <c r="S362" i="23"/>
  <c r="L362" i="23"/>
  <c r="S361" i="23"/>
  <c r="L361" i="23"/>
  <c r="S360" i="23"/>
  <c r="L360" i="23"/>
  <c r="Q358" i="23"/>
  <c r="P358" i="23"/>
  <c r="O358" i="23"/>
  <c r="Q355" i="23"/>
  <c r="Q354" i="23" s="1"/>
  <c r="Q353" i="23" s="1"/>
  <c r="P355" i="23"/>
  <c r="P354" i="23" s="1"/>
  <c r="P353" i="23" s="1"/>
  <c r="O355" i="23"/>
  <c r="O354" i="23" s="1"/>
  <c r="O353" i="23" s="1"/>
  <c r="N355" i="23"/>
  <c r="N354" i="23" s="1"/>
  <c r="N353" i="23" s="1"/>
  <c r="Q352" i="23"/>
  <c r="Q351" i="23" s="1"/>
  <c r="Q350" i="23" s="1"/>
  <c r="P352" i="23"/>
  <c r="P351" i="23" s="1"/>
  <c r="P350" i="23" s="1"/>
  <c r="O352" i="23"/>
  <c r="O351" i="23" s="1"/>
  <c r="O350" i="23" s="1"/>
  <c r="N352" i="23"/>
  <c r="N351" i="23" s="1"/>
  <c r="N350" i="23" s="1"/>
  <c r="K352" i="23"/>
  <c r="K351" i="23" s="1"/>
  <c r="K350" i="23" s="1"/>
  <c r="J351" i="23"/>
  <c r="J350" i="23" s="1"/>
  <c r="I351" i="23"/>
  <c r="I350" i="23" s="1"/>
  <c r="H351" i="23"/>
  <c r="H350" i="23" s="1"/>
  <c r="Q348" i="23"/>
  <c r="Q347" i="23" s="1"/>
  <c r="Q346" i="23" s="1"/>
  <c r="P348" i="23"/>
  <c r="P347" i="23" s="1"/>
  <c r="P346" i="23" s="1"/>
  <c r="O348" i="23"/>
  <c r="O347" i="23" s="1"/>
  <c r="O346" i="23" s="1"/>
  <c r="N348" i="23"/>
  <c r="N347" i="23" s="1"/>
  <c r="N346" i="23" s="1"/>
  <c r="M348" i="23"/>
  <c r="K348" i="23"/>
  <c r="K347" i="23" s="1"/>
  <c r="K346" i="23" s="1"/>
  <c r="J347" i="23"/>
  <c r="J346" i="23" s="1"/>
  <c r="I347" i="23"/>
  <c r="I346" i="23" s="1"/>
  <c r="H347" i="23"/>
  <c r="H346" i="23" s="1"/>
  <c r="Q345" i="23"/>
  <c r="Q344" i="23" s="1"/>
  <c r="Q343" i="23" s="1"/>
  <c r="P345" i="23"/>
  <c r="P344" i="23" s="1"/>
  <c r="P343" i="23" s="1"/>
  <c r="N345" i="23"/>
  <c r="N344" i="23" s="1"/>
  <c r="N343" i="23" s="1"/>
  <c r="K345" i="23"/>
  <c r="K344" i="23" s="1"/>
  <c r="K343" i="23" s="1"/>
  <c r="J344" i="23"/>
  <c r="J343" i="23" s="1"/>
  <c r="I344" i="23"/>
  <c r="I343" i="23" s="1"/>
  <c r="H344" i="23"/>
  <c r="H343" i="23" s="1"/>
  <c r="Q342" i="23"/>
  <c r="P342" i="23"/>
  <c r="O342" i="23"/>
  <c r="N342" i="23"/>
  <c r="M342" i="23"/>
  <c r="K342" i="23"/>
  <c r="Q341" i="23"/>
  <c r="P341" i="23"/>
  <c r="O341" i="23"/>
  <c r="N341" i="23"/>
  <c r="M341" i="23"/>
  <c r="K341" i="23"/>
  <c r="Q340" i="23"/>
  <c r="P340" i="23"/>
  <c r="O340" i="23"/>
  <c r="N340" i="23"/>
  <c r="M340" i="23"/>
  <c r="K340" i="23"/>
  <c r="Q339" i="23"/>
  <c r="P339" i="23"/>
  <c r="O339" i="23"/>
  <c r="N339" i="23"/>
  <c r="M339" i="23"/>
  <c r="K339" i="23"/>
  <c r="Q338" i="23"/>
  <c r="P338" i="23"/>
  <c r="O338" i="23"/>
  <c r="N338" i="23"/>
  <c r="M338" i="23"/>
  <c r="K338" i="23"/>
  <c r="Q337" i="23"/>
  <c r="P337" i="23"/>
  <c r="O337" i="23"/>
  <c r="N337" i="23"/>
  <c r="M337" i="23"/>
  <c r="K337" i="23"/>
  <c r="Q336" i="23"/>
  <c r="P336" i="23"/>
  <c r="O336" i="23"/>
  <c r="N336" i="23"/>
  <c r="M336" i="23"/>
  <c r="K336" i="23"/>
  <c r="Q335" i="23"/>
  <c r="P335" i="23"/>
  <c r="O335" i="23"/>
  <c r="N335" i="23"/>
  <c r="M335" i="23"/>
  <c r="K335" i="23"/>
  <c r="Q334" i="23"/>
  <c r="P334" i="23"/>
  <c r="O334" i="23"/>
  <c r="N334" i="23"/>
  <c r="M334" i="23"/>
  <c r="K334" i="23"/>
  <c r="Q333" i="23"/>
  <c r="P333" i="23"/>
  <c r="O333" i="23"/>
  <c r="N333" i="23"/>
  <c r="M333" i="23"/>
  <c r="K333" i="23"/>
  <c r="Q332" i="23"/>
  <c r="P332" i="23"/>
  <c r="O332" i="23"/>
  <c r="N332" i="23"/>
  <c r="M332" i="23"/>
  <c r="K332" i="23"/>
  <c r="Q331" i="23"/>
  <c r="P331" i="23"/>
  <c r="O331" i="23"/>
  <c r="N331" i="23"/>
  <c r="M331" i="23"/>
  <c r="K331" i="23"/>
  <c r="Q330" i="23"/>
  <c r="P330" i="23"/>
  <c r="O330" i="23"/>
  <c r="N330" i="23"/>
  <c r="M330" i="23"/>
  <c r="K330" i="23"/>
  <c r="Q329" i="23"/>
  <c r="P329" i="23"/>
  <c r="O329" i="23"/>
  <c r="N329" i="23"/>
  <c r="M329" i="23"/>
  <c r="K329" i="23"/>
  <c r="Q328" i="23"/>
  <c r="P328" i="23"/>
  <c r="O328" i="23"/>
  <c r="N328" i="23"/>
  <c r="M328" i="23"/>
  <c r="K328" i="23"/>
  <c r="Q327" i="23"/>
  <c r="P327" i="23"/>
  <c r="O327" i="23"/>
  <c r="N327" i="23"/>
  <c r="M327" i="23"/>
  <c r="K327" i="23"/>
  <c r="Q326" i="23"/>
  <c r="P326" i="23"/>
  <c r="O326" i="23"/>
  <c r="N326" i="23"/>
  <c r="M326" i="23"/>
  <c r="K326" i="23"/>
  <c r="Q325" i="23"/>
  <c r="P325" i="23"/>
  <c r="O325" i="23"/>
  <c r="N325" i="23"/>
  <c r="M325" i="23"/>
  <c r="K325" i="23"/>
  <c r="Q324" i="23"/>
  <c r="P324" i="23"/>
  <c r="N324" i="23"/>
  <c r="M324" i="23"/>
  <c r="K324" i="23"/>
  <c r="J323" i="23"/>
  <c r="I323" i="23"/>
  <c r="H323" i="23"/>
  <c r="Q322" i="23"/>
  <c r="P322" i="23"/>
  <c r="O322" i="23"/>
  <c r="N322" i="23"/>
  <c r="M322" i="23"/>
  <c r="K322" i="23"/>
  <c r="Q321" i="23"/>
  <c r="P321" i="23"/>
  <c r="O321" i="23"/>
  <c r="N321" i="23"/>
  <c r="M321" i="23"/>
  <c r="K321" i="23"/>
  <c r="Q320" i="23"/>
  <c r="P320" i="23"/>
  <c r="O320" i="23"/>
  <c r="N320" i="23"/>
  <c r="M320" i="23"/>
  <c r="K320" i="23"/>
  <c r="Q319" i="23"/>
  <c r="P319" i="23"/>
  <c r="O319" i="23"/>
  <c r="N319" i="23"/>
  <c r="M319" i="23"/>
  <c r="K319" i="23"/>
  <c r="Q318" i="23"/>
  <c r="P318" i="23"/>
  <c r="O318" i="23"/>
  <c r="N318" i="23"/>
  <c r="M318" i="23"/>
  <c r="K318" i="23"/>
  <c r="Q317" i="23"/>
  <c r="P317" i="23"/>
  <c r="O317" i="23"/>
  <c r="N317" i="23"/>
  <c r="M317" i="23"/>
  <c r="K317" i="23"/>
  <c r="Q316" i="23"/>
  <c r="P316" i="23"/>
  <c r="O316" i="23"/>
  <c r="N316" i="23"/>
  <c r="M316" i="23"/>
  <c r="K316" i="23"/>
  <c r="Q315" i="23"/>
  <c r="O315" i="23"/>
  <c r="N315" i="23"/>
  <c r="K315" i="23"/>
  <c r="Q314" i="23"/>
  <c r="P314" i="23"/>
  <c r="O314" i="23"/>
  <c r="N314" i="23"/>
  <c r="M314" i="23"/>
  <c r="K314" i="23"/>
  <c r="Q313" i="23"/>
  <c r="P313" i="23"/>
  <c r="O313" i="23"/>
  <c r="N313" i="23"/>
  <c r="M313" i="23"/>
  <c r="K313" i="23"/>
  <c r="Q312" i="23"/>
  <c r="P312" i="23"/>
  <c r="O312" i="23"/>
  <c r="N312" i="23"/>
  <c r="M312" i="23"/>
  <c r="K312" i="23"/>
  <c r="Q311" i="23"/>
  <c r="P311" i="23"/>
  <c r="O311" i="23"/>
  <c r="N311" i="23"/>
  <c r="M311" i="23"/>
  <c r="K311" i="23"/>
  <c r="Q310" i="23"/>
  <c r="P310" i="23"/>
  <c r="O310" i="23"/>
  <c r="N310" i="23"/>
  <c r="M310" i="23"/>
  <c r="K310" i="23"/>
  <c r="Q309" i="23"/>
  <c r="P309" i="23"/>
  <c r="O309" i="23"/>
  <c r="N309" i="23"/>
  <c r="M309" i="23"/>
  <c r="K309" i="23"/>
  <c r="Q308" i="23"/>
  <c r="P308" i="23"/>
  <c r="O308" i="23"/>
  <c r="N308" i="23"/>
  <c r="M308" i="23"/>
  <c r="K308" i="23"/>
  <c r="Q307" i="23"/>
  <c r="P307" i="23"/>
  <c r="O307" i="23"/>
  <c r="N307" i="23"/>
  <c r="M307" i="23"/>
  <c r="K307" i="23"/>
  <c r="Q306" i="23"/>
  <c r="P306" i="23"/>
  <c r="O306" i="23"/>
  <c r="N306" i="23"/>
  <c r="M306" i="23"/>
  <c r="K306" i="23"/>
  <c r="Q305" i="23"/>
  <c r="P305" i="23"/>
  <c r="O305" i="23"/>
  <c r="N305" i="23"/>
  <c r="M305" i="23"/>
  <c r="K305" i="23"/>
  <c r="Q304" i="23"/>
  <c r="P304" i="23"/>
  <c r="N304" i="23"/>
  <c r="M304" i="23"/>
  <c r="K304" i="23"/>
  <c r="Q303" i="23"/>
  <c r="P303" i="23"/>
  <c r="O303" i="23"/>
  <c r="N303" i="23"/>
  <c r="M303" i="23"/>
  <c r="K303" i="23"/>
  <c r="Q302" i="23"/>
  <c r="P302" i="23"/>
  <c r="O302" i="23"/>
  <c r="N302" i="23"/>
  <c r="M302" i="23"/>
  <c r="K302" i="23"/>
  <c r="J301" i="23"/>
  <c r="I301" i="23"/>
  <c r="H301" i="23"/>
  <c r="Q299" i="23"/>
  <c r="P299" i="23"/>
  <c r="O299" i="23"/>
  <c r="N299" i="23"/>
  <c r="K299" i="23"/>
  <c r="Q298" i="23"/>
  <c r="P298" i="23"/>
  <c r="O298" i="23"/>
  <c r="N298" i="23"/>
  <c r="M298" i="23"/>
  <c r="K298" i="23"/>
  <c r="Q297" i="23"/>
  <c r="P297" i="23"/>
  <c r="O297" i="23"/>
  <c r="N297" i="23"/>
  <c r="M297" i="23"/>
  <c r="K297" i="23"/>
  <c r="Q296" i="23"/>
  <c r="P296" i="23"/>
  <c r="O296" i="23"/>
  <c r="N296" i="23"/>
  <c r="M296" i="23"/>
  <c r="K296" i="23"/>
  <c r="Q295" i="23"/>
  <c r="P295" i="23"/>
  <c r="O295" i="23"/>
  <c r="N295" i="23"/>
  <c r="M295" i="23"/>
  <c r="K295" i="23"/>
  <c r="Q294" i="23"/>
  <c r="P294" i="23"/>
  <c r="O294" i="23"/>
  <c r="N294" i="23"/>
  <c r="M294" i="23"/>
  <c r="K294" i="23"/>
  <c r="Q293" i="23"/>
  <c r="P293" i="23"/>
  <c r="O293" i="23"/>
  <c r="N293" i="23"/>
  <c r="M293" i="23"/>
  <c r="K293" i="23"/>
  <c r="Q292" i="23"/>
  <c r="P292" i="23"/>
  <c r="O292" i="23"/>
  <c r="N292" i="23"/>
  <c r="M292" i="23"/>
  <c r="K292" i="23"/>
  <c r="Q291" i="23"/>
  <c r="P291" i="23"/>
  <c r="O291" i="23"/>
  <c r="N291" i="23"/>
  <c r="M291" i="23"/>
  <c r="K291" i="23"/>
  <c r="Q290" i="23"/>
  <c r="P290" i="23"/>
  <c r="O290" i="23"/>
  <c r="N290" i="23"/>
  <c r="M290" i="23"/>
  <c r="K290" i="23"/>
  <c r="Q289" i="23"/>
  <c r="P289" i="23"/>
  <c r="O289" i="23"/>
  <c r="N289" i="23"/>
  <c r="M289" i="23"/>
  <c r="K289" i="23"/>
  <c r="Q288" i="23"/>
  <c r="P288" i="23"/>
  <c r="O288" i="23"/>
  <c r="N288" i="23"/>
  <c r="M288" i="23"/>
  <c r="K288" i="23"/>
  <c r="Q287" i="23"/>
  <c r="P287" i="23"/>
  <c r="O287" i="23"/>
  <c r="N287" i="23"/>
  <c r="M287" i="23"/>
  <c r="K287" i="23"/>
  <c r="Q286" i="23"/>
  <c r="P286" i="23"/>
  <c r="O286" i="23"/>
  <c r="N286" i="23"/>
  <c r="M286" i="23"/>
  <c r="K286" i="23"/>
  <c r="Q285" i="23"/>
  <c r="P285" i="23"/>
  <c r="O285" i="23"/>
  <c r="N285" i="23"/>
  <c r="M285" i="23"/>
  <c r="K285" i="23"/>
  <c r="Q284" i="23"/>
  <c r="P284" i="23"/>
  <c r="O284" i="23"/>
  <c r="N284" i="23"/>
  <c r="M284" i="23"/>
  <c r="K284" i="23"/>
  <c r="Q283" i="23"/>
  <c r="P283" i="23"/>
  <c r="O283" i="23"/>
  <c r="N283" i="23"/>
  <c r="M283" i="23"/>
  <c r="K283" i="23"/>
  <c r="Q282" i="23"/>
  <c r="P282" i="23"/>
  <c r="O282" i="23"/>
  <c r="N282" i="23"/>
  <c r="M282" i="23"/>
  <c r="K282" i="23"/>
  <c r="Q281" i="23"/>
  <c r="P281" i="23"/>
  <c r="O281" i="23"/>
  <c r="N281" i="23"/>
  <c r="M281" i="23"/>
  <c r="K281" i="23"/>
  <c r="Q280" i="23"/>
  <c r="P280" i="23"/>
  <c r="O280" i="23"/>
  <c r="N280" i="23"/>
  <c r="M280" i="23"/>
  <c r="K280" i="23"/>
  <c r="Q279" i="23"/>
  <c r="P279" i="23"/>
  <c r="O279" i="23"/>
  <c r="N279" i="23"/>
  <c r="M279" i="23"/>
  <c r="K279" i="23"/>
  <c r="Q278" i="23"/>
  <c r="P278" i="23"/>
  <c r="O278" i="23"/>
  <c r="N278" i="23"/>
  <c r="M278" i="23"/>
  <c r="K278" i="23"/>
  <c r="Q277" i="23"/>
  <c r="P277" i="23"/>
  <c r="O277" i="23"/>
  <c r="N277" i="23"/>
  <c r="M277" i="23"/>
  <c r="K277" i="23"/>
  <c r="Q276" i="23"/>
  <c r="P276" i="23"/>
  <c r="O276" i="23"/>
  <c r="N276" i="23"/>
  <c r="M276" i="23"/>
  <c r="K276" i="23"/>
  <c r="Q275" i="23"/>
  <c r="P275" i="23"/>
  <c r="O275" i="23"/>
  <c r="N275" i="23"/>
  <c r="M275" i="23"/>
  <c r="K275" i="23"/>
  <c r="Q274" i="23"/>
  <c r="P274" i="23"/>
  <c r="O274" i="23"/>
  <c r="N274" i="23"/>
  <c r="M274" i="23"/>
  <c r="K274" i="23"/>
  <c r="Q273" i="23"/>
  <c r="P273" i="23"/>
  <c r="O273" i="23"/>
  <c r="N273" i="23"/>
  <c r="M273" i="23"/>
  <c r="K273" i="23"/>
  <c r="Q272" i="23"/>
  <c r="P272" i="23"/>
  <c r="O272" i="23"/>
  <c r="N272" i="23"/>
  <c r="M272" i="23"/>
  <c r="K272" i="23"/>
  <c r="Q271" i="23"/>
  <c r="P271" i="23"/>
  <c r="O271" i="23"/>
  <c r="N271" i="23"/>
  <c r="M271" i="23"/>
  <c r="K271" i="23"/>
  <c r="Q270" i="23"/>
  <c r="P270" i="23"/>
  <c r="O270" i="23"/>
  <c r="N270" i="23"/>
  <c r="M270" i="23"/>
  <c r="K270" i="23"/>
  <c r="Q269" i="23"/>
  <c r="P269" i="23"/>
  <c r="O269" i="23"/>
  <c r="N269" i="23"/>
  <c r="M269" i="23"/>
  <c r="K269" i="23"/>
  <c r="Q268" i="23"/>
  <c r="P268" i="23"/>
  <c r="O268" i="23"/>
  <c r="N268" i="23"/>
  <c r="M268" i="23"/>
  <c r="K268" i="23"/>
  <c r="Q267" i="23"/>
  <c r="P267" i="23"/>
  <c r="O267" i="23"/>
  <c r="N267" i="23"/>
  <c r="M267" i="23"/>
  <c r="K267" i="23"/>
  <c r="Q266" i="23"/>
  <c r="P266" i="23"/>
  <c r="O266" i="23"/>
  <c r="N266" i="23"/>
  <c r="M266" i="23"/>
  <c r="K266" i="23"/>
  <c r="Q265" i="23"/>
  <c r="P265" i="23"/>
  <c r="O265" i="23"/>
  <c r="N265" i="23"/>
  <c r="M265" i="23"/>
  <c r="K265" i="23"/>
  <c r="Q264" i="23"/>
  <c r="P264" i="23"/>
  <c r="O264" i="23"/>
  <c r="N264" i="23"/>
  <c r="M264" i="23"/>
  <c r="K264" i="23"/>
  <c r="Q263" i="23"/>
  <c r="P263" i="23"/>
  <c r="O263" i="23"/>
  <c r="N263" i="23"/>
  <c r="M263" i="23"/>
  <c r="K263" i="23"/>
  <c r="Q262" i="23"/>
  <c r="P262" i="23"/>
  <c r="O262" i="23"/>
  <c r="N262" i="23"/>
  <c r="M262" i="23"/>
  <c r="K262" i="23"/>
  <c r="Q261" i="23"/>
  <c r="P261" i="23"/>
  <c r="O261" i="23"/>
  <c r="N261" i="23"/>
  <c r="M261" i="23"/>
  <c r="K261" i="23"/>
  <c r="Q260" i="23"/>
  <c r="P260" i="23"/>
  <c r="O260" i="23"/>
  <c r="N260" i="23"/>
  <c r="M260" i="23"/>
  <c r="K260" i="23"/>
  <c r="Q259" i="23"/>
  <c r="P259" i="23"/>
  <c r="O259" i="23"/>
  <c r="N259" i="23"/>
  <c r="M259" i="23"/>
  <c r="K259" i="23"/>
  <c r="Q258" i="23"/>
  <c r="O258" i="23"/>
  <c r="N258" i="23"/>
  <c r="K258" i="23"/>
  <c r="Q257" i="23"/>
  <c r="P257" i="23"/>
  <c r="O257" i="23"/>
  <c r="N257" i="23"/>
  <c r="M257" i="23"/>
  <c r="K257" i="23"/>
  <c r="Q256" i="23"/>
  <c r="O256" i="23"/>
  <c r="N256" i="23"/>
  <c r="M256" i="23"/>
  <c r="K256" i="23"/>
  <c r="Q255" i="23"/>
  <c r="P255" i="23"/>
  <c r="O255" i="23"/>
  <c r="N255" i="23"/>
  <c r="M255" i="23"/>
  <c r="K255" i="23"/>
  <c r="Q254" i="23"/>
  <c r="P254" i="23"/>
  <c r="O254" i="23"/>
  <c r="N254" i="23"/>
  <c r="M254" i="23"/>
  <c r="K254" i="23"/>
  <c r="Q253" i="23"/>
  <c r="P253" i="23"/>
  <c r="O253" i="23"/>
  <c r="N253" i="23"/>
  <c r="M253" i="23"/>
  <c r="K253" i="23"/>
  <c r="Q252" i="23"/>
  <c r="P252" i="23"/>
  <c r="O252" i="23"/>
  <c r="N252" i="23"/>
  <c r="M252" i="23"/>
  <c r="K252" i="23"/>
  <c r="Q251" i="23"/>
  <c r="P251" i="23"/>
  <c r="O251" i="23"/>
  <c r="N251" i="23"/>
  <c r="M251" i="23"/>
  <c r="K251" i="23"/>
  <c r="R250" i="23"/>
  <c r="K250" i="23"/>
  <c r="Q249" i="23"/>
  <c r="P249" i="23"/>
  <c r="O249" i="23"/>
  <c r="N249" i="23"/>
  <c r="M249" i="23"/>
  <c r="K249" i="23"/>
  <c r="Q248" i="23"/>
  <c r="P248" i="23"/>
  <c r="O248" i="23"/>
  <c r="N248" i="23"/>
  <c r="M248" i="23"/>
  <c r="K248" i="23"/>
  <c r="Q247" i="23"/>
  <c r="P247" i="23"/>
  <c r="O247" i="23"/>
  <c r="N247" i="23"/>
  <c r="M247" i="23"/>
  <c r="K247" i="23"/>
  <c r="Q246" i="23"/>
  <c r="P246" i="23"/>
  <c r="O246" i="23"/>
  <c r="N246" i="23"/>
  <c r="M246" i="23"/>
  <c r="K246" i="23"/>
  <c r="Q245" i="23"/>
  <c r="P245" i="23"/>
  <c r="O245" i="23"/>
  <c r="N245" i="23"/>
  <c r="M245" i="23"/>
  <c r="K245" i="23"/>
  <c r="Q244" i="23"/>
  <c r="P244" i="23"/>
  <c r="O244" i="23"/>
  <c r="N244" i="23"/>
  <c r="M244" i="23"/>
  <c r="K244" i="23"/>
  <c r="Q243" i="23"/>
  <c r="P243" i="23"/>
  <c r="O243" i="23"/>
  <c r="N243" i="23"/>
  <c r="M243" i="23"/>
  <c r="K243" i="23"/>
  <c r="Q242" i="23"/>
  <c r="P242" i="23"/>
  <c r="N242" i="23"/>
  <c r="M242" i="23"/>
  <c r="K242" i="23"/>
  <c r="J241" i="23"/>
  <c r="I241" i="23"/>
  <c r="H241" i="23"/>
  <c r="Q240" i="23"/>
  <c r="O240" i="23"/>
  <c r="N240" i="23"/>
  <c r="M240" i="23"/>
  <c r="K240" i="23"/>
  <c r="Q239" i="23"/>
  <c r="P239" i="23"/>
  <c r="O239" i="23"/>
  <c r="N239" i="23"/>
  <c r="M239" i="23"/>
  <c r="K239" i="23"/>
  <c r="Q238" i="23"/>
  <c r="P238" i="23"/>
  <c r="O238" i="23"/>
  <c r="N238" i="23"/>
  <c r="M238" i="23"/>
  <c r="K238" i="23"/>
  <c r="Q237" i="23"/>
  <c r="P237" i="23"/>
  <c r="O237" i="23"/>
  <c r="N237" i="23"/>
  <c r="M237" i="23"/>
  <c r="K237" i="23"/>
  <c r="Q236" i="23"/>
  <c r="P236" i="23"/>
  <c r="O236" i="23"/>
  <c r="N236" i="23"/>
  <c r="M236" i="23"/>
  <c r="K236" i="23"/>
  <c r="Q235" i="23"/>
  <c r="P235" i="23"/>
  <c r="O235" i="23"/>
  <c r="N235" i="23"/>
  <c r="M235" i="23"/>
  <c r="K235" i="23"/>
  <c r="Q234" i="23"/>
  <c r="P234" i="23"/>
  <c r="O234" i="23"/>
  <c r="N234" i="23"/>
  <c r="M234" i="23"/>
  <c r="K234" i="23"/>
  <c r="Q233" i="23"/>
  <c r="P233" i="23"/>
  <c r="O233" i="23"/>
  <c r="N233" i="23"/>
  <c r="M233" i="23"/>
  <c r="K233" i="23"/>
  <c r="Q232" i="23"/>
  <c r="P232" i="23"/>
  <c r="O232" i="23"/>
  <c r="N232" i="23"/>
  <c r="M232" i="23"/>
  <c r="K232" i="23"/>
  <c r="Q231" i="23"/>
  <c r="P231" i="23"/>
  <c r="O231" i="23"/>
  <c r="N231" i="23"/>
  <c r="M231" i="23"/>
  <c r="K231" i="23"/>
  <c r="Q230" i="23"/>
  <c r="P230" i="23"/>
  <c r="O230" i="23"/>
  <c r="N230" i="23"/>
  <c r="M230" i="23"/>
  <c r="K230" i="23"/>
  <c r="Q229" i="23"/>
  <c r="P229" i="23"/>
  <c r="O229" i="23"/>
  <c r="N229" i="23"/>
  <c r="M229" i="23"/>
  <c r="K229" i="23"/>
  <c r="Q228" i="23"/>
  <c r="P228" i="23"/>
  <c r="O228" i="23"/>
  <c r="N228" i="23"/>
  <c r="M228" i="23"/>
  <c r="K228" i="23"/>
  <c r="Q227" i="23"/>
  <c r="P227" i="23"/>
  <c r="O227" i="23"/>
  <c r="N227" i="23"/>
  <c r="M227" i="23"/>
  <c r="K227" i="23"/>
  <c r="Q226" i="23"/>
  <c r="P226" i="23"/>
  <c r="O226" i="23"/>
  <c r="N226" i="23"/>
  <c r="M226" i="23"/>
  <c r="K226" i="23"/>
  <c r="Q225" i="23"/>
  <c r="P225" i="23"/>
  <c r="O225" i="23"/>
  <c r="N225" i="23"/>
  <c r="M225" i="23"/>
  <c r="K225" i="23"/>
  <c r="Q224" i="23"/>
  <c r="P224" i="23"/>
  <c r="O224" i="23"/>
  <c r="N224" i="23"/>
  <c r="M224" i="23"/>
  <c r="K224" i="23"/>
  <c r="Q223" i="23"/>
  <c r="P223" i="23"/>
  <c r="O223" i="23"/>
  <c r="N223" i="23"/>
  <c r="M223" i="23"/>
  <c r="K223" i="23"/>
  <c r="Q222" i="23"/>
  <c r="P222" i="23"/>
  <c r="O222" i="23"/>
  <c r="N222" i="23"/>
  <c r="M222" i="23"/>
  <c r="K222" i="23"/>
  <c r="Q221" i="23"/>
  <c r="P221" i="23"/>
  <c r="O221" i="23"/>
  <c r="N221" i="23"/>
  <c r="M221" i="23"/>
  <c r="K221" i="23"/>
  <c r="Q220" i="23"/>
  <c r="P220" i="23"/>
  <c r="O220" i="23"/>
  <c r="N220" i="23"/>
  <c r="M220" i="23"/>
  <c r="K220" i="23"/>
  <c r="Q219" i="23"/>
  <c r="P219" i="23"/>
  <c r="O219" i="23"/>
  <c r="N219" i="23"/>
  <c r="M219" i="23"/>
  <c r="K219" i="23"/>
  <c r="Q218" i="23"/>
  <c r="P218" i="23"/>
  <c r="O218" i="23"/>
  <c r="N218" i="23"/>
  <c r="M218" i="23"/>
  <c r="K218" i="23"/>
  <c r="Q217" i="23"/>
  <c r="P217" i="23"/>
  <c r="O217" i="23"/>
  <c r="N217" i="23"/>
  <c r="M217" i="23"/>
  <c r="K217" i="23"/>
  <c r="Q216" i="23"/>
  <c r="P216" i="23"/>
  <c r="O216" i="23"/>
  <c r="N216" i="23"/>
  <c r="M216" i="23"/>
  <c r="K216" i="23"/>
  <c r="Q215" i="23"/>
  <c r="P215" i="23"/>
  <c r="O215" i="23"/>
  <c r="N215" i="23"/>
  <c r="M215" i="23"/>
  <c r="K215" i="23"/>
  <c r="Q214" i="23"/>
  <c r="P214" i="23"/>
  <c r="O214" i="23"/>
  <c r="N214" i="23"/>
  <c r="M214" i="23"/>
  <c r="K214" i="23"/>
  <c r="Q213" i="23"/>
  <c r="P213" i="23"/>
  <c r="O213" i="23"/>
  <c r="N213" i="23"/>
  <c r="M213" i="23"/>
  <c r="K213" i="23"/>
  <c r="Q212" i="23"/>
  <c r="P212" i="23"/>
  <c r="O212" i="23"/>
  <c r="N212" i="23"/>
  <c r="M212" i="23"/>
  <c r="K212" i="23"/>
  <c r="Q211" i="23"/>
  <c r="P211" i="23"/>
  <c r="O211" i="23"/>
  <c r="N211" i="23"/>
  <c r="M211" i="23"/>
  <c r="K211" i="23"/>
  <c r="Q210" i="23"/>
  <c r="P210" i="23"/>
  <c r="O210" i="23"/>
  <c r="N210" i="23"/>
  <c r="M210" i="23"/>
  <c r="K210" i="23"/>
  <c r="Q209" i="23"/>
  <c r="P209" i="23"/>
  <c r="O209" i="23"/>
  <c r="N209" i="23"/>
  <c r="M209" i="23"/>
  <c r="K209" i="23"/>
  <c r="Q208" i="23"/>
  <c r="P208" i="23"/>
  <c r="O208" i="23"/>
  <c r="N208" i="23"/>
  <c r="M208" i="23"/>
  <c r="K208" i="23"/>
  <c r="Q207" i="23"/>
  <c r="P207" i="23"/>
  <c r="O207" i="23"/>
  <c r="N207" i="23"/>
  <c r="M207" i="23"/>
  <c r="K207" i="23"/>
  <c r="Q206" i="23"/>
  <c r="P206" i="23"/>
  <c r="O206" i="23"/>
  <c r="N206" i="23"/>
  <c r="M206" i="23"/>
  <c r="K206" i="23"/>
  <c r="Q205" i="23"/>
  <c r="P205" i="23"/>
  <c r="O205" i="23"/>
  <c r="N205" i="23"/>
  <c r="M205" i="23"/>
  <c r="K205" i="23"/>
  <c r="Q204" i="23"/>
  <c r="P204" i="23"/>
  <c r="O204" i="23"/>
  <c r="N204" i="23"/>
  <c r="M204" i="23"/>
  <c r="K204" i="23"/>
  <c r="Q203" i="23"/>
  <c r="P203" i="23"/>
  <c r="O203" i="23"/>
  <c r="N203" i="23"/>
  <c r="M203" i="23"/>
  <c r="K203" i="23"/>
  <c r="Q202" i="23"/>
  <c r="P202" i="23"/>
  <c r="O202" i="23"/>
  <c r="N202" i="23"/>
  <c r="M202" i="23"/>
  <c r="K202" i="23"/>
  <c r="Q201" i="23"/>
  <c r="P201" i="23"/>
  <c r="O201" i="23"/>
  <c r="N201" i="23"/>
  <c r="M201" i="23"/>
  <c r="K201" i="23"/>
  <c r="Q200" i="23"/>
  <c r="P200" i="23"/>
  <c r="O200" i="23"/>
  <c r="N200" i="23"/>
  <c r="M200" i="23"/>
  <c r="K200" i="23"/>
  <c r="Q199" i="23"/>
  <c r="P199" i="23"/>
  <c r="O199" i="23"/>
  <c r="N199" i="23"/>
  <c r="K199" i="23"/>
  <c r="Q198" i="23"/>
  <c r="P198" i="23"/>
  <c r="O198" i="23"/>
  <c r="N198" i="23"/>
  <c r="M198" i="23"/>
  <c r="K198" i="23"/>
  <c r="Q197" i="23"/>
  <c r="P197" i="23"/>
  <c r="O197" i="23"/>
  <c r="N197" i="23"/>
  <c r="M197" i="23"/>
  <c r="K197" i="23"/>
  <c r="Q196" i="23"/>
  <c r="P196" i="23"/>
  <c r="O196" i="23"/>
  <c r="N196" i="23"/>
  <c r="M196" i="23"/>
  <c r="K196" i="23"/>
  <c r="Q195" i="23"/>
  <c r="P195" i="23"/>
  <c r="O195" i="23"/>
  <c r="N195" i="23"/>
  <c r="M195" i="23"/>
  <c r="K195" i="23"/>
  <c r="Q194" i="23"/>
  <c r="P194" i="23"/>
  <c r="O194" i="23"/>
  <c r="N194" i="23"/>
  <c r="M194" i="23"/>
  <c r="K194" i="23"/>
  <c r="Q193" i="23"/>
  <c r="P193" i="23"/>
  <c r="O193" i="23"/>
  <c r="N193" i="23"/>
  <c r="M193" i="23"/>
  <c r="K193" i="23"/>
  <c r="Q192" i="23"/>
  <c r="P192" i="23"/>
  <c r="O192" i="23"/>
  <c r="N192" i="23"/>
  <c r="M192" i="23"/>
  <c r="K192" i="23"/>
  <c r="Q191" i="23"/>
  <c r="P191" i="23"/>
  <c r="O191" i="23"/>
  <c r="N191" i="23"/>
  <c r="M191" i="23"/>
  <c r="K191" i="23"/>
  <c r="Q190" i="23"/>
  <c r="P190" i="23"/>
  <c r="O190" i="23"/>
  <c r="N190" i="23"/>
  <c r="M190" i="23"/>
  <c r="K190" i="23"/>
  <c r="Q189" i="23"/>
  <c r="P189" i="23"/>
  <c r="O189" i="23"/>
  <c r="N189" i="23"/>
  <c r="M189" i="23"/>
  <c r="K189" i="23"/>
  <c r="Q188" i="23"/>
  <c r="P188" i="23"/>
  <c r="O188" i="23"/>
  <c r="N188" i="23"/>
  <c r="M188" i="23"/>
  <c r="K188" i="23"/>
  <c r="Q187" i="23"/>
  <c r="P187" i="23"/>
  <c r="O187" i="23"/>
  <c r="N187" i="23"/>
  <c r="M187" i="23"/>
  <c r="K187" i="23"/>
  <c r="Q186" i="23"/>
  <c r="P186" i="23"/>
  <c r="O186" i="23"/>
  <c r="N186" i="23"/>
  <c r="M186" i="23"/>
  <c r="K186" i="23"/>
  <c r="Q185" i="23"/>
  <c r="P185" i="23"/>
  <c r="O185" i="23"/>
  <c r="N185" i="23"/>
  <c r="M185" i="23"/>
  <c r="K185" i="23"/>
  <c r="Q184" i="23"/>
  <c r="P184" i="23"/>
  <c r="O184" i="23"/>
  <c r="N184" i="23"/>
  <c r="M184" i="23"/>
  <c r="K184" i="23"/>
  <c r="Q183" i="23"/>
  <c r="P183" i="23"/>
  <c r="N183" i="23"/>
  <c r="M183" i="23"/>
  <c r="K183" i="23"/>
  <c r="J182" i="23"/>
  <c r="I182" i="23"/>
  <c r="H182" i="23"/>
  <c r="Q180" i="23"/>
  <c r="P180" i="23"/>
  <c r="O180" i="23"/>
  <c r="N180" i="23"/>
  <c r="M180" i="23"/>
  <c r="K180" i="23"/>
  <c r="Q179" i="23"/>
  <c r="P179" i="23"/>
  <c r="O179" i="23"/>
  <c r="N179" i="23"/>
  <c r="M179" i="23"/>
  <c r="K179" i="23"/>
  <c r="Q178" i="23"/>
  <c r="P178" i="23"/>
  <c r="N178" i="23"/>
  <c r="M178" i="23"/>
  <c r="K178" i="23"/>
  <c r="Q177" i="23"/>
  <c r="P177" i="23"/>
  <c r="N177" i="23"/>
  <c r="M177" i="23"/>
  <c r="K177" i="23"/>
  <c r="Q176" i="23"/>
  <c r="P176" i="23"/>
  <c r="O176" i="23"/>
  <c r="N176" i="23"/>
  <c r="M176" i="23"/>
  <c r="K176" i="23"/>
  <c r="J175" i="23"/>
  <c r="I175" i="23"/>
  <c r="H175" i="23"/>
  <c r="Q174" i="23"/>
  <c r="P174" i="23"/>
  <c r="O174" i="23"/>
  <c r="N174" i="23"/>
  <c r="M174" i="23"/>
  <c r="K174" i="23"/>
  <c r="Q173" i="23"/>
  <c r="P173" i="23"/>
  <c r="O173" i="23"/>
  <c r="N173" i="23"/>
  <c r="M173" i="23"/>
  <c r="K173" i="23"/>
  <c r="Q172" i="23"/>
  <c r="P172" i="23"/>
  <c r="O172" i="23"/>
  <c r="N172" i="23"/>
  <c r="M172" i="23"/>
  <c r="K172" i="23"/>
  <c r="Q171" i="23"/>
  <c r="P171" i="23"/>
  <c r="O171" i="23"/>
  <c r="N171" i="23"/>
  <c r="M171" i="23"/>
  <c r="K171" i="23"/>
  <c r="Q170" i="23"/>
  <c r="P170" i="23"/>
  <c r="O170" i="23"/>
  <c r="N170" i="23"/>
  <c r="M170" i="23"/>
  <c r="K170" i="23"/>
  <c r="Q169" i="23"/>
  <c r="P169" i="23"/>
  <c r="O169" i="23"/>
  <c r="N169" i="23"/>
  <c r="M169" i="23"/>
  <c r="K169" i="23"/>
  <c r="Q168" i="23"/>
  <c r="P168" i="23"/>
  <c r="O168" i="23"/>
  <c r="N168" i="23"/>
  <c r="M168" i="23"/>
  <c r="K168" i="23"/>
  <c r="Q167" i="23"/>
  <c r="P167" i="23"/>
  <c r="O167" i="23"/>
  <c r="N167" i="23"/>
  <c r="M167" i="23"/>
  <c r="K167" i="23"/>
  <c r="Q166" i="23"/>
  <c r="P166" i="23"/>
  <c r="O166" i="23"/>
  <c r="N166" i="23"/>
  <c r="M166" i="23"/>
  <c r="K166" i="23"/>
  <c r="Q165" i="23"/>
  <c r="P165" i="23"/>
  <c r="O165" i="23"/>
  <c r="N165" i="23"/>
  <c r="M165" i="23"/>
  <c r="K165" i="23"/>
  <c r="Q164" i="23"/>
  <c r="P164" i="23"/>
  <c r="O164" i="23"/>
  <c r="N164" i="23"/>
  <c r="M164" i="23"/>
  <c r="K164" i="23"/>
  <c r="Q163" i="23"/>
  <c r="P163" i="23"/>
  <c r="O163" i="23"/>
  <c r="N163" i="23"/>
  <c r="M163" i="23"/>
  <c r="K163" i="23"/>
  <c r="Q162" i="23"/>
  <c r="P162" i="23"/>
  <c r="O162" i="23"/>
  <c r="N162" i="23"/>
  <c r="M162" i="23"/>
  <c r="K162" i="23"/>
  <c r="Q161" i="23"/>
  <c r="P161" i="23"/>
  <c r="O161" i="23"/>
  <c r="N161" i="23"/>
  <c r="M161" i="23"/>
  <c r="K161" i="23"/>
  <c r="Q160" i="23"/>
  <c r="P160" i="23"/>
  <c r="O160" i="23"/>
  <c r="N160" i="23"/>
  <c r="M160" i="23"/>
  <c r="K160" i="23"/>
  <c r="Q159" i="23"/>
  <c r="P159" i="23"/>
  <c r="O159" i="23"/>
  <c r="N159" i="23"/>
  <c r="M159" i="23"/>
  <c r="K159" i="23"/>
  <c r="Q158" i="23"/>
  <c r="P158" i="23"/>
  <c r="O158" i="23"/>
  <c r="N158" i="23"/>
  <c r="M158" i="23"/>
  <c r="K158" i="23"/>
  <c r="Q157" i="23"/>
  <c r="P157" i="23"/>
  <c r="O157" i="23"/>
  <c r="N157" i="23"/>
  <c r="M157" i="23"/>
  <c r="K157" i="23"/>
  <c r="Q156" i="23"/>
  <c r="P156" i="23"/>
  <c r="O156" i="23"/>
  <c r="N156" i="23"/>
  <c r="M156" i="23"/>
  <c r="K156" i="23"/>
  <c r="Q155" i="23"/>
  <c r="P155" i="23"/>
  <c r="O155" i="23"/>
  <c r="N155" i="23"/>
  <c r="M155" i="23"/>
  <c r="K155" i="23"/>
  <c r="Q154" i="23"/>
  <c r="P154" i="23"/>
  <c r="O154" i="23"/>
  <c r="N154" i="23"/>
  <c r="M154" i="23"/>
  <c r="K154" i="23"/>
  <c r="Q153" i="23"/>
  <c r="P153" i="23"/>
  <c r="O153" i="23"/>
  <c r="N153" i="23"/>
  <c r="M153" i="23"/>
  <c r="K153" i="23"/>
  <c r="Q152" i="23"/>
  <c r="P152" i="23"/>
  <c r="O152" i="23"/>
  <c r="N152" i="23"/>
  <c r="M152" i="23"/>
  <c r="K152" i="23"/>
  <c r="Q151" i="23"/>
  <c r="P151" i="23"/>
  <c r="O151" i="23"/>
  <c r="N151" i="23"/>
  <c r="M151" i="23"/>
  <c r="K151" i="23"/>
  <c r="Q150" i="23"/>
  <c r="P150" i="23"/>
  <c r="O150" i="23"/>
  <c r="N150" i="23"/>
  <c r="M150" i="23"/>
  <c r="K150" i="23"/>
  <c r="Q149" i="23"/>
  <c r="P149" i="23"/>
  <c r="N149" i="23"/>
  <c r="M149" i="23"/>
  <c r="K149" i="23"/>
  <c r="Q148" i="23"/>
  <c r="P148" i="23"/>
  <c r="N148" i="23"/>
  <c r="M148" i="23"/>
  <c r="K148" i="23"/>
  <c r="Q147" i="23"/>
  <c r="P147" i="23"/>
  <c r="O147" i="23"/>
  <c r="N147" i="23"/>
  <c r="M147" i="23"/>
  <c r="K147" i="23"/>
  <c r="Q146" i="23"/>
  <c r="P146" i="23"/>
  <c r="O146" i="23"/>
  <c r="N146" i="23"/>
  <c r="M146" i="23"/>
  <c r="K146" i="23"/>
  <c r="Q145" i="23"/>
  <c r="P145" i="23"/>
  <c r="N145" i="23"/>
  <c r="M145" i="23"/>
  <c r="K145" i="23"/>
  <c r="Q144" i="23"/>
  <c r="P144" i="23"/>
  <c r="N144" i="23"/>
  <c r="M144" i="23"/>
  <c r="K144" i="23"/>
  <c r="Q143" i="23"/>
  <c r="P143" i="23"/>
  <c r="O143" i="23"/>
  <c r="N143" i="23"/>
  <c r="M143" i="23"/>
  <c r="K143" i="23"/>
  <c r="Q142" i="23"/>
  <c r="P142" i="23"/>
  <c r="O142" i="23"/>
  <c r="N142" i="23"/>
  <c r="M142" i="23"/>
  <c r="K142" i="23"/>
  <c r="P141" i="23"/>
  <c r="O141" i="23"/>
  <c r="N141" i="23"/>
  <c r="M141" i="23"/>
  <c r="K141" i="23"/>
  <c r="Q140" i="23"/>
  <c r="P140" i="23"/>
  <c r="O140" i="23"/>
  <c r="N140" i="23"/>
  <c r="M140" i="23"/>
  <c r="K140" i="23"/>
  <c r="Q139" i="23"/>
  <c r="P139" i="23"/>
  <c r="O139" i="23"/>
  <c r="N139" i="23"/>
  <c r="M139" i="23"/>
  <c r="K139" i="23"/>
  <c r="Q138" i="23"/>
  <c r="P138" i="23"/>
  <c r="O138" i="23"/>
  <c r="N138" i="23"/>
  <c r="M138" i="23"/>
  <c r="K138" i="23"/>
  <c r="Q137" i="23"/>
  <c r="P137" i="23"/>
  <c r="O137" i="23"/>
  <c r="N137" i="23"/>
  <c r="M137" i="23"/>
  <c r="K137" i="23"/>
  <c r="Q136" i="23"/>
  <c r="P136" i="23"/>
  <c r="O136" i="23"/>
  <c r="N136" i="23"/>
  <c r="M136" i="23"/>
  <c r="K136" i="23"/>
  <c r="Q135" i="23"/>
  <c r="P135" i="23"/>
  <c r="O135" i="23"/>
  <c r="M135" i="23"/>
  <c r="K135" i="23"/>
  <c r="Q134" i="23"/>
  <c r="P134" i="23"/>
  <c r="O134" i="23"/>
  <c r="N134" i="23"/>
  <c r="M134" i="23"/>
  <c r="K134" i="23"/>
  <c r="Q133" i="23"/>
  <c r="P133" i="23"/>
  <c r="O133" i="23"/>
  <c r="N133" i="23"/>
  <c r="M133" i="23"/>
  <c r="K133" i="23"/>
  <c r="Q132" i="23"/>
  <c r="P132" i="23"/>
  <c r="O132" i="23"/>
  <c r="N132" i="23"/>
  <c r="M132" i="23"/>
  <c r="K132" i="23"/>
  <c r="Q131" i="23"/>
  <c r="P131" i="23"/>
  <c r="O131" i="23"/>
  <c r="N131" i="23"/>
  <c r="M131" i="23"/>
  <c r="K131" i="23"/>
  <c r="Q130" i="23"/>
  <c r="P130" i="23"/>
  <c r="O130" i="23"/>
  <c r="N130" i="23"/>
  <c r="M130" i="23"/>
  <c r="K130" i="23"/>
  <c r="Q129" i="23"/>
  <c r="P129" i="23"/>
  <c r="N129" i="23"/>
  <c r="M129" i="23"/>
  <c r="K129" i="23"/>
  <c r="Q128" i="23"/>
  <c r="P128" i="23"/>
  <c r="N128" i="23"/>
  <c r="M128" i="23"/>
  <c r="K128" i="23"/>
  <c r="P127" i="23"/>
  <c r="N127" i="23"/>
  <c r="M127" i="23"/>
  <c r="K127" i="23"/>
  <c r="P126" i="23"/>
  <c r="N126" i="23"/>
  <c r="M126" i="23"/>
  <c r="K126" i="23"/>
  <c r="J125" i="23"/>
  <c r="I125" i="23"/>
  <c r="Q124" i="23"/>
  <c r="P124" i="23"/>
  <c r="O124" i="23"/>
  <c r="N124" i="23"/>
  <c r="M124" i="23"/>
  <c r="K124" i="23"/>
  <c r="Q123" i="23"/>
  <c r="P123" i="23"/>
  <c r="O123" i="23"/>
  <c r="N123" i="23"/>
  <c r="M123" i="23"/>
  <c r="K123" i="23"/>
  <c r="Q122" i="23"/>
  <c r="P122" i="23"/>
  <c r="O122" i="23"/>
  <c r="N122" i="23"/>
  <c r="M122" i="23"/>
  <c r="K122" i="23"/>
  <c r="Q121" i="23"/>
  <c r="P121" i="23"/>
  <c r="O121" i="23"/>
  <c r="N121" i="23"/>
  <c r="M121" i="23"/>
  <c r="K121" i="23"/>
  <c r="Q120" i="23"/>
  <c r="P120" i="23"/>
  <c r="O120" i="23"/>
  <c r="N120" i="23"/>
  <c r="M120" i="23"/>
  <c r="K120" i="23"/>
  <c r="Q119" i="23"/>
  <c r="P119" i="23"/>
  <c r="O119" i="23"/>
  <c r="N119" i="23"/>
  <c r="M119" i="23"/>
  <c r="K119" i="23"/>
  <c r="Q118" i="23"/>
  <c r="P118" i="23"/>
  <c r="O118" i="23"/>
  <c r="N118" i="23"/>
  <c r="M118" i="23"/>
  <c r="K118" i="23"/>
  <c r="Q117" i="23"/>
  <c r="P117" i="23"/>
  <c r="O117" i="23"/>
  <c r="N117" i="23"/>
  <c r="M117" i="23"/>
  <c r="K117" i="23"/>
  <c r="Q116" i="23"/>
  <c r="P116" i="23"/>
  <c r="O116" i="23"/>
  <c r="N116" i="23"/>
  <c r="M116" i="23"/>
  <c r="K116" i="23"/>
  <c r="Q115" i="23"/>
  <c r="P115" i="23"/>
  <c r="O115" i="23"/>
  <c r="N115" i="23"/>
  <c r="M115" i="23"/>
  <c r="K115" i="23"/>
  <c r="Q114" i="23"/>
  <c r="P114" i="23"/>
  <c r="O114" i="23"/>
  <c r="N114" i="23"/>
  <c r="M114" i="23"/>
  <c r="K114" i="23"/>
  <c r="Q113" i="23"/>
  <c r="P113" i="23"/>
  <c r="O113" i="23"/>
  <c r="N113" i="23"/>
  <c r="M113" i="23"/>
  <c r="K113" i="23"/>
  <c r="Q112" i="23"/>
  <c r="P112" i="23"/>
  <c r="O112" i="23"/>
  <c r="N112" i="23"/>
  <c r="M112" i="23"/>
  <c r="K112" i="23"/>
  <c r="Q111" i="23"/>
  <c r="P111" i="23"/>
  <c r="O111" i="23"/>
  <c r="N111" i="23"/>
  <c r="M111" i="23"/>
  <c r="K111" i="23"/>
  <c r="Q110" i="23"/>
  <c r="P110" i="23"/>
  <c r="N110" i="23"/>
  <c r="M110" i="23"/>
  <c r="K110" i="23"/>
  <c r="Q109" i="23"/>
  <c r="P109" i="23"/>
  <c r="O109" i="23"/>
  <c r="N109" i="23"/>
  <c r="M109" i="23"/>
  <c r="K109" i="23"/>
  <c r="Q108" i="23"/>
  <c r="P108" i="23"/>
  <c r="O108" i="23"/>
  <c r="N108" i="23"/>
  <c r="M108" i="23"/>
  <c r="K108" i="23"/>
  <c r="Q107" i="23"/>
  <c r="P107" i="23"/>
  <c r="O107" i="23"/>
  <c r="N107" i="23"/>
  <c r="M107" i="23"/>
  <c r="K107" i="23"/>
  <c r="Q106" i="23"/>
  <c r="P106" i="23"/>
  <c r="O106" i="23"/>
  <c r="N106" i="23"/>
  <c r="M106" i="23"/>
  <c r="K106" i="23"/>
  <c r="Q105" i="23"/>
  <c r="P105" i="23"/>
  <c r="O105" i="23"/>
  <c r="N105" i="23"/>
  <c r="M105" i="23"/>
  <c r="K105" i="23"/>
  <c r="Q104" i="23"/>
  <c r="P104" i="23"/>
  <c r="O104" i="23"/>
  <c r="N104" i="23"/>
  <c r="M104" i="23"/>
  <c r="K104" i="23"/>
  <c r="Q103" i="23"/>
  <c r="P103" i="23"/>
  <c r="O103" i="23"/>
  <c r="N103" i="23"/>
  <c r="M103" i="23"/>
  <c r="K103" i="23"/>
  <c r="Q102" i="23"/>
  <c r="P102" i="23"/>
  <c r="O102" i="23"/>
  <c r="N102" i="23"/>
  <c r="M102" i="23"/>
  <c r="K102" i="23"/>
  <c r="Q101" i="23"/>
  <c r="P101" i="23"/>
  <c r="O101" i="23"/>
  <c r="N101" i="23"/>
  <c r="M101" i="23"/>
  <c r="K101" i="23"/>
  <c r="Q100" i="23"/>
  <c r="P100" i="23"/>
  <c r="O100" i="23"/>
  <c r="N100" i="23"/>
  <c r="M100" i="23"/>
  <c r="K100" i="23"/>
  <c r="Q99" i="23"/>
  <c r="P99" i="23"/>
  <c r="O99" i="23"/>
  <c r="N99" i="23"/>
  <c r="M99" i="23"/>
  <c r="K99" i="23"/>
  <c r="Q98" i="23"/>
  <c r="P98" i="23"/>
  <c r="O98" i="23"/>
  <c r="N98" i="23"/>
  <c r="M98" i="23"/>
  <c r="K98" i="23"/>
  <c r="Q97" i="23"/>
  <c r="P97" i="23"/>
  <c r="O97" i="23"/>
  <c r="N97" i="23"/>
  <c r="M97" i="23"/>
  <c r="K97" i="23"/>
  <c r="Q96" i="23"/>
  <c r="P96" i="23"/>
  <c r="O96" i="23"/>
  <c r="N96" i="23"/>
  <c r="M96" i="23"/>
  <c r="K96" i="23"/>
  <c r="Q95" i="23"/>
  <c r="P95" i="23"/>
  <c r="O95" i="23"/>
  <c r="N95" i="23"/>
  <c r="M95" i="23"/>
  <c r="K95" i="23"/>
  <c r="Q94" i="23"/>
  <c r="P94" i="23"/>
  <c r="O94" i="23"/>
  <c r="N94" i="23"/>
  <c r="M94" i="23"/>
  <c r="K94" i="23"/>
  <c r="Q93" i="23"/>
  <c r="P93" i="23"/>
  <c r="O93" i="23"/>
  <c r="N93" i="23"/>
  <c r="M93" i="23"/>
  <c r="K93" i="23"/>
  <c r="Q92" i="23"/>
  <c r="P92" i="23"/>
  <c r="O92" i="23"/>
  <c r="N92" i="23"/>
  <c r="M92" i="23"/>
  <c r="K92" i="23"/>
  <c r="Q91" i="23"/>
  <c r="P91" i="23"/>
  <c r="O91" i="23"/>
  <c r="N91" i="23"/>
  <c r="M91" i="23"/>
  <c r="K91" i="23"/>
  <c r="Q90" i="23"/>
  <c r="P90" i="23"/>
  <c r="O90" i="23"/>
  <c r="N90" i="23"/>
  <c r="M90" i="23"/>
  <c r="K90" i="23"/>
  <c r="Q89" i="23"/>
  <c r="P89" i="23"/>
  <c r="O89" i="23"/>
  <c r="N89" i="23"/>
  <c r="M89" i="23"/>
  <c r="K89" i="23"/>
  <c r="Q88" i="23"/>
  <c r="P88" i="23"/>
  <c r="O88" i="23"/>
  <c r="N88" i="23"/>
  <c r="M88" i="23"/>
  <c r="K88" i="23"/>
  <c r="Q87" i="23"/>
  <c r="P87" i="23"/>
  <c r="O87" i="23"/>
  <c r="N87" i="23"/>
  <c r="M87" i="23"/>
  <c r="K87" i="23"/>
  <c r="Q86" i="23"/>
  <c r="P86" i="23"/>
  <c r="O86" i="23"/>
  <c r="N86" i="23"/>
  <c r="M86" i="23"/>
  <c r="K86" i="23"/>
  <c r="Q85" i="23"/>
  <c r="P85" i="23"/>
  <c r="O85" i="23"/>
  <c r="N85" i="23"/>
  <c r="M85" i="23"/>
  <c r="K85" i="23"/>
  <c r="Q84" i="23"/>
  <c r="P84" i="23"/>
  <c r="O84" i="23"/>
  <c r="N84" i="23"/>
  <c r="M84" i="23"/>
  <c r="K84" i="23"/>
  <c r="Q83" i="23"/>
  <c r="P83" i="23"/>
  <c r="O83" i="23"/>
  <c r="N83" i="23"/>
  <c r="M83" i="23"/>
  <c r="K83" i="23"/>
  <c r="Q82" i="23"/>
  <c r="P82" i="23"/>
  <c r="O82" i="23"/>
  <c r="M82" i="23"/>
  <c r="K82" i="23"/>
  <c r="Q81" i="23"/>
  <c r="P81" i="23"/>
  <c r="O81" i="23"/>
  <c r="M81" i="23"/>
  <c r="K81" i="23"/>
  <c r="Q80" i="23"/>
  <c r="O80" i="23"/>
  <c r="M80" i="23"/>
  <c r="K80" i="23"/>
  <c r="Q79" i="23"/>
  <c r="P79" i="23"/>
  <c r="O79" i="23"/>
  <c r="N79" i="23"/>
  <c r="M79" i="23"/>
  <c r="K79" i="23"/>
  <c r="Q78" i="23"/>
  <c r="P78" i="23"/>
  <c r="O78" i="23"/>
  <c r="N78" i="23"/>
  <c r="M78" i="23"/>
  <c r="K78" i="23"/>
  <c r="Q77" i="23"/>
  <c r="P77" i="23"/>
  <c r="O77" i="23"/>
  <c r="N77" i="23"/>
  <c r="M77" i="23"/>
  <c r="K77" i="23"/>
  <c r="Q76" i="23"/>
  <c r="P76" i="23"/>
  <c r="O76" i="23"/>
  <c r="N76" i="23"/>
  <c r="M76" i="23"/>
  <c r="K76" i="23"/>
  <c r="Q75" i="23"/>
  <c r="P75" i="23"/>
  <c r="O75" i="23"/>
  <c r="N75" i="23"/>
  <c r="M75" i="23"/>
  <c r="K75" i="23"/>
  <c r="J74" i="23"/>
  <c r="I74" i="23"/>
  <c r="H74" i="23"/>
  <c r="Q73" i="23"/>
  <c r="P73" i="23"/>
  <c r="O73" i="23"/>
  <c r="N73" i="23"/>
  <c r="M73" i="23"/>
  <c r="K73" i="23"/>
  <c r="P72" i="23"/>
  <c r="O72" i="23"/>
  <c r="N72" i="23"/>
  <c r="M72" i="23"/>
  <c r="K72" i="23"/>
  <c r="Q71" i="23"/>
  <c r="P71" i="23"/>
  <c r="O71" i="23"/>
  <c r="N71" i="23"/>
  <c r="M71" i="23"/>
  <c r="K71" i="23"/>
  <c r="Q70" i="23"/>
  <c r="P70" i="23"/>
  <c r="O70" i="23"/>
  <c r="N70" i="23"/>
  <c r="M70" i="23"/>
  <c r="K70" i="23"/>
  <c r="Q69" i="23"/>
  <c r="P69" i="23"/>
  <c r="O69" i="23"/>
  <c r="N69" i="23"/>
  <c r="M69" i="23"/>
  <c r="K69" i="23"/>
  <c r="Q68" i="23"/>
  <c r="P68" i="23"/>
  <c r="O68" i="23"/>
  <c r="N68" i="23"/>
  <c r="M68" i="23"/>
  <c r="K68" i="23"/>
  <c r="Q67" i="23"/>
  <c r="P67" i="23"/>
  <c r="O67" i="23"/>
  <c r="N67" i="23"/>
  <c r="M67" i="23"/>
  <c r="K67" i="23"/>
  <c r="Q66" i="23"/>
  <c r="P66" i="23"/>
  <c r="O66" i="23"/>
  <c r="N66" i="23"/>
  <c r="M66" i="23"/>
  <c r="K66" i="23"/>
  <c r="Q65" i="23"/>
  <c r="P65" i="23"/>
  <c r="O65" i="23"/>
  <c r="N65" i="23"/>
  <c r="M65" i="23"/>
  <c r="K65" i="23"/>
  <c r="Q64" i="23"/>
  <c r="P64" i="23"/>
  <c r="O64" i="23"/>
  <c r="N64" i="23"/>
  <c r="M64" i="23"/>
  <c r="K64" i="23"/>
  <c r="Q63" i="23"/>
  <c r="P63" i="23"/>
  <c r="O63" i="23"/>
  <c r="N63" i="23"/>
  <c r="M63" i="23"/>
  <c r="K63" i="23"/>
  <c r="Q62" i="23"/>
  <c r="P62" i="23"/>
  <c r="O62" i="23"/>
  <c r="M62" i="23"/>
  <c r="K62" i="23"/>
  <c r="Q61" i="23"/>
  <c r="P61" i="23"/>
  <c r="N61" i="23"/>
  <c r="M61" i="23"/>
  <c r="K61" i="23"/>
  <c r="Q60" i="23"/>
  <c r="P60" i="23"/>
  <c r="O60" i="23"/>
  <c r="N60" i="23"/>
  <c r="M60" i="23"/>
  <c r="K60" i="23"/>
  <c r="Q59" i="23"/>
  <c r="P59" i="23"/>
  <c r="O59" i="23"/>
  <c r="N59" i="23"/>
  <c r="M59" i="23"/>
  <c r="K59" i="23"/>
  <c r="Q58" i="23"/>
  <c r="P58" i="23"/>
  <c r="O58" i="23"/>
  <c r="N58" i="23"/>
  <c r="M58" i="23"/>
  <c r="K58" i="23"/>
  <c r="Q57" i="23"/>
  <c r="P57" i="23"/>
  <c r="O57" i="23"/>
  <c r="N57" i="23"/>
  <c r="M57" i="23"/>
  <c r="K57" i="23"/>
  <c r="Q56" i="23"/>
  <c r="P56" i="23"/>
  <c r="O56" i="23"/>
  <c r="N56" i="23"/>
  <c r="M56" i="23"/>
  <c r="K56" i="23"/>
  <c r="Q55" i="23"/>
  <c r="P55" i="23"/>
  <c r="O55" i="23"/>
  <c r="N55" i="23"/>
  <c r="M55" i="23"/>
  <c r="K55" i="23"/>
  <c r="Q54" i="23"/>
  <c r="P54" i="23"/>
  <c r="O54" i="23"/>
  <c r="N54" i="23"/>
  <c r="M54" i="23"/>
  <c r="K54" i="23"/>
  <c r="Q53" i="23"/>
  <c r="P53" i="23"/>
  <c r="O53" i="23"/>
  <c r="N53" i="23"/>
  <c r="M53" i="23"/>
  <c r="K53" i="23"/>
  <c r="Q52" i="23"/>
  <c r="P52" i="23"/>
  <c r="O52" i="23"/>
  <c r="N52" i="23"/>
  <c r="M52" i="23"/>
  <c r="K52" i="23"/>
  <c r="Q51" i="23"/>
  <c r="P51" i="23"/>
  <c r="O51" i="23"/>
  <c r="N51" i="23"/>
  <c r="M51" i="23"/>
  <c r="K51" i="23"/>
  <c r="Q50" i="23"/>
  <c r="P50" i="23"/>
  <c r="O50" i="23"/>
  <c r="N50" i="23"/>
  <c r="M50" i="23"/>
  <c r="K50" i="23"/>
  <c r="Q49" i="23"/>
  <c r="P49" i="23"/>
  <c r="O49" i="23"/>
  <c r="N49" i="23"/>
  <c r="M49" i="23"/>
  <c r="K49" i="23"/>
  <c r="Q48" i="23"/>
  <c r="P48" i="23"/>
  <c r="O48" i="23"/>
  <c r="N48" i="23"/>
  <c r="M48" i="23"/>
  <c r="K48" i="23"/>
  <c r="Q47" i="23"/>
  <c r="P47" i="23"/>
  <c r="O47" i="23"/>
  <c r="N47" i="23"/>
  <c r="M47" i="23"/>
  <c r="K47" i="23"/>
  <c r="Q46" i="23"/>
  <c r="P46" i="23"/>
  <c r="O46" i="23"/>
  <c r="N46" i="23"/>
  <c r="M46" i="23"/>
  <c r="K46" i="23"/>
  <c r="Q45" i="23"/>
  <c r="P45" i="23"/>
  <c r="O45" i="23"/>
  <c r="N45" i="23"/>
  <c r="M45" i="23"/>
  <c r="K45" i="23"/>
  <c r="Q44" i="23"/>
  <c r="P44" i="23"/>
  <c r="O44" i="23"/>
  <c r="N44" i="23"/>
  <c r="M44" i="23"/>
  <c r="K44" i="23"/>
  <c r="Q43" i="23"/>
  <c r="P43" i="23"/>
  <c r="O43" i="23"/>
  <c r="N43" i="23"/>
  <c r="M43" i="23"/>
  <c r="K43" i="23"/>
  <c r="Q42" i="23"/>
  <c r="P42" i="23"/>
  <c r="O42" i="23"/>
  <c r="N42" i="23"/>
  <c r="M42" i="23"/>
  <c r="K42" i="23"/>
  <c r="Q41" i="23"/>
  <c r="P41" i="23"/>
  <c r="O41" i="23"/>
  <c r="N41" i="23"/>
  <c r="M41" i="23"/>
  <c r="K41" i="23"/>
  <c r="Q40" i="23"/>
  <c r="P40" i="23"/>
  <c r="O40" i="23"/>
  <c r="N40" i="23"/>
  <c r="M40" i="23"/>
  <c r="K40" i="23"/>
  <c r="Q39" i="23"/>
  <c r="P39" i="23"/>
  <c r="O39" i="23"/>
  <c r="N39" i="23"/>
  <c r="M39" i="23"/>
  <c r="K39" i="23"/>
  <c r="Q38" i="23"/>
  <c r="P38" i="23"/>
  <c r="O38" i="23"/>
  <c r="N38" i="23"/>
  <c r="M38" i="23"/>
  <c r="K38" i="23"/>
  <c r="Q37" i="23"/>
  <c r="P37" i="23"/>
  <c r="O37" i="23"/>
  <c r="N37" i="23"/>
  <c r="M37" i="23"/>
  <c r="K37" i="23"/>
  <c r="Q36" i="23"/>
  <c r="P36" i="23"/>
  <c r="O36" i="23"/>
  <c r="N36" i="23"/>
  <c r="M36" i="23"/>
  <c r="K36" i="23"/>
  <c r="Q35" i="23"/>
  <c r="P35" i="23"/>
  <c r="O35" i="23"/>
  <c r="N35" i="23"/>
  <c r="M35" i="23"/>
  <c r="K35" i="23"/>
  <c r="Q34" i="23"/>
  <c r="P34" i="23"/>
  <c r="O34" i="23"/>
  <c r="N34" i="23"/>
  <c r="M34" i="23"/>
  <c r="K34" i="23"/>
  <c r="Q33" i="23"/>
  <c r="P33" i="23"/>
  <c r="O33" i="23"/>
  <c r="M33" i="23"/>
  <c r="K33" i="23"/>
  <c r="Q32" i="23"/>
  <c r="P32" i="23"/>
  <c r="O32" i="23"/>
  <c r="N32" i="23"/>
  <c r="M32" i="23"/>
  <c r="K32" i="23"/>
  <c r="Q31" i="23"/>
  <c r="P31" i="23"/>
  <c r="O31" i="23"/>
  <c r="N31" i="23"/>
  <c r="M31" i="23"/>
  <c r="K31" i="23"/>
  <c r="Q30" i="23"/>
  <c r="P30" i="23"/>
  <c r="O30" i="23"/>
  <c r="N30" i="23"/>
  <c r="M30" i="23"/>
  <c r="K30" i="23"/>
  <c r="Q29" i="23"/>
  <c r="P29" i="23"/>
  <c r="O29" i="23"/>
  <c r="N29" i="23"/>
  <c r="M29" i="23"/>
  <c r="K29" i="23"/>
  <c r="Q28" i="23"/>
  <c r="P28" i="23"/>
  <c r="O28" i="23"/>
  <c r="N28" i="23"/>
  <c r="M28" i="23"/>
  <c r="K28" i="23"/>
  <c r="Q27" i="23"/>
  <c r="P27" i="23"/>
  <c r="O27" i="23"/>
  <c r="N27" i="23"/>
  <c r="M27" i="23"/>
  <c r="K27" i="23"/>
  <c r="Q26" i="23"/>
  <c r="P26" i="23"/>
  <c r="O26" i="23"/>
  <c r="N26" i="23"/>
  <c r="M26" i="23"/>
  <c r="K26" i="23"/>
  <c r="Q25" i="23"/>
  <c r="P25" i="23"/>
  <c r="O25" i="23"/>
  <c r="N25" i="23"/>
  <c r="M25" i="23"/>
  <c r="K25" i="23"/>
  <c r="Q24" i="23"/>
  <c r="P24" i="23"/>
  <c r="O24" i="23"/>
  <c r="N24" i="23"/>
  <c r="M24" i="23"/>
  <c r="K24" i="23"/>
  <c r="Q23" i="23"/>
  <c r="P23" i="23"/>
  <c r="O23" i="23"/>
  <c r="N23" i="23"/>
  <c r="M23" i="23"/>
  <c r="K23" i="23"/>
  <c r="P22" i="23"/>
  <c r="O22" i="23"/>
  <c r="M22" i="23"/>
  <c r="K22" i="23"/>
  <c r="Q21" i="23"/>
  <c r="P21" i="23"/>
  <c r="O21" i="23"/>
  <c r="M21" i="23"/>
  <c r="K21" i="23"/>
  <c r="Q20" i="23"/>
  <c r="P20" i="23"/>
  <c r="O20" i="23"/>
  <c r="M20" i="23"/>
  <c r="K20" i="23"/>
  <c r="Q19" i="23"/>
  <c r="P19" i="23"/>
  <c r="O19" i="23"/>
  <c r="N19" i="23"/>
  <c r="M19" i="23"/>
  <c r="K19" i="23"/>
  <c r="Q18" i="23"/>
  <c r="P18" i="23"/>
  <c r="O18" i="23"/>
  <c r="N18" i="23"/>
  <c r="M18" i="23"/>
  <c r="K18" i="23"/>
  <c r="Q17" i="23"/>
  <c r="P17" i="23"/>
  <c r="O17" i="23"/>
  <c r="N17" i="23"/>
  <c r="M17" i="23"/>
  <c r="K17" i="23"/>
  <c r="Q16" i="23"/>
  <c r="P16" i="23"/>
  <c r="O16" i="23"/>
  <c r="N16" i="23"/>
  <c r="M16" i="23"/>
  <c r="K16" i="23"/>
  <c r="Q15" i="23"/>
  <c r="P15" i="23"/>
  <c r="O15" i="23"/>
  <c r="N15" i="23"/>
  <c r="M15" i="23"/>
  <c r="K15" i="23"/>
  <c r="P14" i="23"/>
  <c r="O14" i="23"/>
  <c r="M14" i="23"/>
  <c r="K14" i="23"/>
  <c r="Q13" i="23"/>
  <c r="P13" i="23"/>
  <c r="O13" i="23"/>
  <c r="N13" i="23"/>
  <c r="M13" i="23"/>
  <c r="K13" i="23"/>
  <c r="Q12" i="23"/>
  <c r="P12" i="23"/>
  <c r="O12" i="23"/>
  <c r="M12" i="23"/>
  <c r="K12" i="23"/>
  <c r="Q11" i="23"/>
  <c r="P11" i="23"/>
  <c r="O11" i="23"/>
  <c r="M11" i="23"/>
  <c r="K11" i="23"/>
  <c r="J10" i="23"/>
  <c r="I10" i="23"/>
  <c r="H10" i="23"/>
  <c r="M9" i="23"/>
  <c r="M8" i="23" s="1"/>
  <c r="K9" i="23"/>
  <c r="K8" i="23" s="1"/>
  <c r="J8" i="23"/>
  <c r="I8" i="23"/>
  <c r="H8" i="23"/>
  <c r="I28" i="38"/>
  <c r="H28" i="38"/>
  <c r="I24" i="38"/>
  <c r="H24" i="38"/>
  <c r="I14" i="38"/>
  <c r="H14" i="38"/>
  <c r="I10" i="38"/>
  <c r="H10" i="38"/>
  <c r="I8" i="38"/>
  <c r="H8" i="38"/>
  <c r="K125" i="3"/>
  <c r="T122" i="3"/>
  <c r="S122" i="3"/>
  <c r="R122" i="3"/>
  <c r="P122" i="3"/>
  <c r="N122" i="3"/>
  <c r="M122" i="3"/>
  <c r="T119" i="3"/>
  <c r="S119" i="3"/>
  <c r="R119" i="3"/>
  <c r="Q119" i="3"/>
  <c r="P119" i="3"/>
  <c r="O119" i="3"/>
  <c r="N119" i="3"/>
  <c r="M119" i="3"/>
  <c r="T118" i="3"/>
  <c r="S118" i="3"/>
  <c r="R118" i="3"/>
  <c r="Q118" i="3"/>
  <c r="P118" i="3"/>
  <c r="N118" i="3"/>
  <c r="M118" i="3"/>
  <c r="T116" i="3"/>
  <c r="S116" i="3"/>
  <c r="R116" i="3"/>
  <c r="Q116" i="3"/>
  <c r="P116" i="3"/>
  <c r="N116" i="3"/>
  <c r="M116" i="3"/>
  <c r="T115" i="3"/>
  <c r="S115" i="3"/>
  <c r="R115" i="3"/>
  <c r="Q115" i="3"/>
  <c r="P115" i="3"/>
  <c r="N115" i="3"/>
  <c r="M115" i="3"/>
  <c r="K115" i="3"/>
  <c r="T114" i="3"/>
  <c r="S114" i="3"/>
  <c r="R114" i="3"/>
  <c r="Q114" i="3"/>
  <c r="P114" i="3"/>
  <c r="N114" i="3"/>
  <c r="M114" i="3"/>
  <c r="T112" i="3"/>
  <c r="S112" i="3"/>
  <c r="R112" i="3"/>
  <c r="Q112" i="3"/>
  <c r="P112" i="3"/>
  <c r="O112" i="3"/>
  <c r="N112" i="3"/>
  <c r="M112" i="3"/>
  <c r="T111" i="3"/>
  <c r="S111" i="3"/>
  <c r="R111" i="3"/>
  <c r="Q111" i="3"/>
  <c r="P111" i="3"/>
  <c r="O111" i="3"/>
  <c r="N111" i="3"/>
  <c r="M111" i="3"/>
  <c r="T110" i="3"/>
  <c r="S110" i="3"/>
  <c r="R110" i="3"/>
  <c r="Q110" i="3"/>
  <c r="P110" i="3"/>
  <c r="O110" i="3"/>
  <c r="N110" i="3"/>
  <c r="M110" i="3"/>
  <c r="T109" i="3"/>
  <c r="S109" i="3"/>
  <c r="R109" i="3"/>
  <c r="Q109" i="3"/>
  <c r="P109" i="3"/>
  <c r="N109" i="3"/>
  <c r="M109" i="3"/>
  <c r="T108" i="3"/>
  <c r="S108" i="3"/>
  <c r="R108" i="3"/>
  <c r="Q108" i="3"/>
  <c r="P108" i="3"/>
  <c r="N108" i="3"/>
  <c r="M108" i="3"/>
  <c r="T107" i="3"/>
  <c r="S107" i="3"/>
  <c r="R107" i="3"/>
  <c r="Q107" i="3"/>
  <c r="P107" i="3"/>
  <c r="O107" i="3"/>
  <c r="N107" i="3"/>
  <c r="M107" i="3"/>
  <c r="T106" i="3"/>
  <c r="S106" i="3"/>
  <c r="R106" i="3"/>
  <c r="Q106" i="3"/>
  <c r="P106" i="3"/>
  <c r="O106" i="3"/>
  <c r="N106" i="3"/>
  <c r="M106" i="3"/>
  <c r="T105" i="3"/>
  <c r="S105" i="3"/>
  <c r="R105" i="3"/>
  <c r="Q105" i="3"/>
  <c r="P105" i="3"/>
  <c r="N105" i="3"/>
  <c r="M105" i="3"/>
  <c r="I368" i="23"/>
  <c r="T104" i="3"/>
  <c r="S104" i="3"/>
  <c r="R104" i="3"/>
  <c r="P104" i="3"/>
  <c r="N104" i="3"/>
  <c r="M104" i="3"/>
  <c r="I370" i="23"/>
  <c r="T102" i="3"/>
  <c r="S102" i="3"/>
  <c r="R102" i="3"/>
  <c r="Q102" i="3"/>
  <c r="P102" i="3"/>
  <c r="N102" i="3"/>
  <c r="M102" i="3"/>
  <c r="T101" i="3"/>
  <c r="S101" i="3"/>
  <c r="R101" i="3"/>
  <c r="Q101" i="3"/>
  <c r="O101" i="3"/>
  <c r="N101" i="3"/>
  <c r="K101" i="3"/>
  <c r="T100" i="3"/>
  <c r="S100" i="3"/>
  <c r="R100" i="3"/>
  <c r="Q100" i="3"/>
  <c r="P100" i="3"/>
  <c r="N100" i="3"/>
  <c r="M100" i="3"/>
  <c r="I379" i="23"/>
  <c r="T99" i="3"/>
  <c r="S99" i="3"/>
  <c r="R99" i="3"/>
  <c r="Q99" i="3"/>
  <c r="P99" i="3"/>
  <c r="N99" i="3"/>
  <c r="M99" i="3"/>
  <c r="I378" i="23"/>
  <c r="T97" i="3"/>
  <c r="S97" i="3"/>
  <c r="R97" i="3"/>
  <c r="Q97" i="3"/>
  <c r="P97" i="3"/>
  <c r="N97" i="3"/>
  <c r="M97" i="3"/>
  <c r="T96" i="3"/>
  <c r="S96" i="3"/>
  <c r="R96" i="3"/>
  <c r="Q96" i="3"/>
  <c r="P96" i="3"/>
  <c r="N96" i="3"/>
  <c r="M96" i="3"/>
  <c r="I367" i="23"/>
  <c r="T95" i="3"/>
  <c r="S95" i="3"/>
  <c r="R95" i="3"/>
  <c r="Q95" i="3"/>
  <c r="P95" i="3"/>
  <c r="N95" i="3"/>
  <c r="M95" i="3"/>
  <c r="T94" i="3"/>
  <c r="S94" i="3"/>
  <c r="R94" i="3"/>
  <c r="Q94" i="3"/>
  <c r="P94" i="3"/>
  <c r="N94" i="3"/>
  <c r="M94" i="3"/>
  <c r="I366" i="23"/>
  <c r="T93" i="3"/>
  <c r="S93" i="3"/>
  <c r="R93" i="3"/>
  <c r="Q93" i="3"/>
  <c r="P93" i="3"/>
  <c r="N93" i="3"/>
  <c r="M93" i="3"/>
  <c r="T92" i="3"/>
  <c r="S92" i="3"/>
  <c r="R92" i="3"/>
  <c r="Q92" i="3"/>
  <c r="P92" i="3"/>
  <c r="N92" i="3"/>
  <c r="M92" i="3"/>
  <c r="T91" i="3"/>
  <c r="S91" i="3"/>
  <c r="R91" i="3"/>
  <c r="Q91" i="3"/>
  <c r="P91" i="3"/>
  <c r="N91" i="3"/>
  <c r="M91" i="3"/>
  <c r="T90" i="3"/>
  <c r="S90" i="3"/>
  <c r="R90" i="3"/>
  <c r="Q90" i="3"/>
  <c r="P90" i="3"/>
  <c r="O90" i="3"/>
  <c r="N90" i="3"/>
  <c r="M90" i="3"/>
  <c r="T89" i="3"/>
  <c r="S89" i="3"/>
  <c r="R89" i="3"/>
  <c r="Q89" i="3"/>
  <c r="P89" i="3"/>
  <c r="N89" i="3"/>
  <c r="M89" i="3"/>
  <c r="T88" i="3"/>
  <c r="S88" i="3"/>
  <c r="R88" i="3"/>
  <c r="Q88" i="3"/>
  <c r="P88" i="3"/>
  <c r="N88" i="3"/>
  <c r="M88" i="3"/>
  <c r="T87" i="3"/>
  <c r="S87" i="3"/>
  <c r="R87" i="3"/>
  <c r="Q87" i="3"/>
  <c r="P87" i="3"/>
  <c r="N87" i="3"/>
  <c r="M87" i="3"/>
  <c r="T85" i="3"/>
  <c r="S85" i="3"/>
  <c r="R85" i="3"/>
  <c r="Q85" i="3"/>
  <c r="P85" i="3"/>
  <c r="N85" i="3"/>
  <c r="M85" i="3"/>
  <c r="T84" i="3"/>
  <c r="S84" i="3"/>
  <c r="R84" i="3"/>
  <c r="Q84" i="3"/>
  <c r="P84" i="3"/>
  <c r="N84" i="3"/>
  <c r="M84" i="3"/>
  <c r="I376" i="23"/>
  <c r="T83" i="3"/>
  <c r="S83" i="3"/>
  <c r="R83" i="3"/>
  <c r="Q83" i="3"/>
  <c r="P83" i="3"/>
  <c r="N83" i="3"/>
  <c r="M83" i="3"/>
  <c r="T82" i="3"/>
  <c r="S82" i="3"/>
  <c r="R82" i="3"/>
  <c r="Q82" i="3"/>
  <c r="P82" i="3"/>
  <c r="N82" i="3"/>
  <c r="M82" i="3"/>
  <c r="I374" i="23"/>
  <c r="T81" i="3"/>
  <c r="S81" i="3"/>
  <c r="R81" i="3"/>
  <c r="Q81" i="3"/>
  <c r="P81" i="3"/>
  <c r="N81" i="3"/>
  <c r="M81" i="3"/>
  <c r="T80" i="3"/>
  <c r="S80" i="3"/>
  <c r="R80" i="3"/>
  <c r="Q80" i="3"/>
  <c r="P80" i="3"/>
  <c r="N80" i="3"/>
  <c r="M80" i="3"/>
  <c r="T79" i="3"/>
  <c r="S79" i="3"/>
  <c r="R79" i="3"/>
  <c r="Q79" i="3"/>
  <c r="P79" i="3"/>
  <c r="N79" i="3"/>
  <c r="M79" i="3"/>
  <c r="T78" i="3"/>
  <c r="S78" i="3"/>
  <c r="R78" i="3"/>
  <c r="Q78" i="3"/>
  <c r="P78" i="3"/>
  <c r="N78" i="3"/>
  <c r="M78" i="3"/>
  <c r="T77" i="3"/>
  <c r="S77" i="3"/>
  <c r="R77" i="3"/>
  <c r="Q77" i="3"/>
  <c r="P77" i="3"/>
  <c r="N77" i="3"/>
  <c r="M77" i="3"/>
  <c r="T74" i="3"/>
  <c r="S74" i="3"/>
  <c r="R74" i="3"/>
  <c r="Q74" i="3"/>
  <c r="P74" i="3"/>
  <c r="N74" i="3"/>
  <c r="M74" i="3"/>
  <c r="T73" i="3"/>
  <c r="S73" i="3"/>
  <c r="R73" i="3"/>
  <c r="Q73" i="3"/>
  <c r="P73" i="3"/>
  <c r="N73" i="3"/>
  <c r="M73" i="3"/>
  <c r="T72" i="3"/>
  <c r="S72" i="3"/>
  <c r="R72" i="3"/>
  <c r="Q72" i="3"/>
  <c r="P72" i="3"/>
  <c r="N72" i="3"/>
  <c r="M72" i="3"/>
  <c r="T71" i="3"/>
  <c r="S71" i="3"/>
  <c r="R71" i="3"/>
  <c r="Q71" i="3"/>
  <c r="P71" i="3"/>
  <c r="N71" i="3"/>
  <c r="M71" i="3"/>
  <c r="T70" i="3"/>
  <c r="S70" i="3"/>
  <c r="R70" i="3"/>
  <c r="Q70" i="3"/>
  <c r="P70" i="3"/>
  <c r="N70" i="3"/>
  <c r="M70" i="3"/>
  <c r="T69" i="3"/>
  <c r="S69" i="3"/>
  <c r="R69" i="3"/>
  <c r="Q69" i="3"/>
  <c r="P69" i="3"/>
  <c r="N69" i="3"/>
  <c r="M69" i="3"/>
  <c r="T68" i="3"/>
  <c r="S68" i="3"/>
  <c r="R68" i="3"/>
  <c r="Q68" i="3"/>
  <c r="P68" i="3"/>
  <c r="N68" i="3"/>
  <c r="M68" i="3"/>
  <c r="T67" i="3"/>
  <c r="S67" i="3"/>
  <c r="R67" i="3"/>
  <c r="Q67" i="3"/>
  <c r="P67" i="3"/>
  <c r="N67" i="3"/>
  <c r="M67" i="3"/>
  <c r="T66" i="3"/>
  <c r="S66" i="3"/>
  <c r="R66" i="3"/>
  <c r="Q66" i="3"/>
  <c r="P66" i="3"/>
  <c r="N66" i="3"/>
  <c r="M66" i="3"/>
  <c r="T65" i="3"/>
  <c r="S65" i="3"/>
  <c r="R65" i="3"/>
  <c r="Q65" i="3"/>
  <c r="P65" i="3"/>
  <c r="N65" i="3"/>
  <c r="M65" i="3"/>
  <c r="T64" i="3"/>
  <c r="S64" i="3"/>
  <c r="R64" i="3"/>
  <c r="Q64" i="3"/>
  <c r="P64" i="3"/>
  <c r="N64" i="3"/>
  <c r="M64" i="3"/>
  <c r="T63" i="3"/>
  <c r="S63" i="3"/>
  <c r="R63" i="3"/>
  <c r="Q63" i="3"/>
  <c r="P63" i="3"/>
  <c r="N63" i="3"/>
  <c r="M63" i="3"/>
  <c r="T62" i="3"/>
  <c r="S62" i="3"/>
  <c r="R62" i="3"/>
  <c r="Q62" i="3"/>
  <c r="P62" i="3"/>
  <c r="N62" i="3"/>
  <c r="M62" i="3"/>
  <c r="T61" i="3"/>
  <c r="S61" i="3"/>
  <c r="R61" i="3"/>
  <c r="Q61" i="3"/>
  <c r="P61" i="3"/>
  <c r="N61" i="3"/>
  <c r="M61" i="3"/>
  <c r="T60" i="3"/>
  <c r="S60" i="3"/>
  <c r="R60" i="3"/>
  <c r="Q60" i="3"/>
  <c r="P60" i="3"/>
  <c r="N60" i="3"/>
  <c r="M60" i="3"/>
  <c r="T59" i="3"/>
  <c r="S59" i="3"/>
  <c r="R59" i="3"/>
  <c r="Q59" i="3"/>
  <c r="P59" i="3"/>
  <c r="N59" i="3"/>
  <c r="M59" i="3"/>
  <c r="T58" i="3"/>
  <c r="S58" i="3"/>
  <c r="R58" i="3"/>
  <c r="Q58" i="3"/>
  <c r="P58" i="3"/>
  <c r="N58" i="3"/>
  <c r="M58" i="3"/>
  <c r="T57" i="3"/>
  <c r="S57" i="3"/>
  <c r="R57" i="3"/>
  <c r="Q57" i="3"/>
  <c r="P57" i="3"/>
  <c r="N57" i="3"/>
  <c r="M57" i="3"/>
  <c r="T56" i="3"/>
  <c r="S56" i="3"/>
  <c r="R56" i="3"/>
  <c r="Q56" i="3"/>
  <c r="P56" i="3"/>
  <c r="O56" i="3"/>
  <c r="N56" i="3"/>
  <c r="M56" i="3"/>
  <c r="K56" i="3"/>
  <c r="T55" i="3"/>
  <c r="S55" i="3"/>
  <c r="R55" i="3"/>
  <c r="Q55" i="3"/>
  <c r="P55" i="3"/>
  <c r="O55" i="3"/>
  <c r="N55" i="3"/>
  <c r="M55" i="3"/>
  <c r="K55" i="3"/>
  <c r="T54" i="3"/>
  <c r="S54" i="3"/>
  <c r="R54" i="3"/>
  <c r="Q54" i="3"/>
  <c r="P54" i="3"/>
  <c r="N54" i="3"/>
  <c r="M54" i="3"/>
  <c r="T53" i="3"/>
  <c r="S53" i="3"/>
  <c r="R53" i="3"/>
  <c r="P53" i="3"/>
  <c r="N53" i="3"/>
  <c r="M53" i="3"/>
  <c r="T51" i="3"/>
  <c r="S51" i="3"/>
  <c r="R51" i="3"/>
  <c r="Q51" i="3"/>
  <c r="P51" i="3"/>
  <c r="O51" i="3"/>
  <c r="N51" i="3"/>
  <c r="M51" i="3"/>
  <c r="T50" i="3"/>
  <c r="S50" i="3"/>
  <c r="R50" i="3"/>
  <c r="Q50" i="3"/>
  <c r="P50" i="3"/>
  <c r="O50" i="3"/>
  <c r="N50" i="3"/>
  <c r="M50" i="3"/>
  <c r="T49" i="3"/>
  <c r="S49" i="3"/>
  <c r="R49" i="3"/>
  <c r="Q49" i="3"/>
  <c r="P49" i="3"/>
  <c r="O49" i="3"/>
  <c r="N49" i="3"/>
  <c r="M49" i="3"/>
  <c r="T48" i="3"/>
  <c r="S48" i="3"/>
  <c r="R48" i="3"/>
  <c r="Q48" i="3"/>
  <c r="P48" i="3"/>
  <c r="O48" i="3"/>
  <c r="N48" i="3"/>
  <c r="M48" i="3"/>
  <c r="T47" i="3"/>
  <c r="S47" i="3"/>
  <c r="R47" i="3"/>
  <c r="Q47" i="3"/>
  <c r="P47" i="3"/>
  <c r="O47" i="3"/>
  <c r="N47" i="3"/>
  <c r="M47" i="3"/>
  <c r="T46" i="3"/>
  <c r="S46" i="3"/>
  <c r="R46" i="3"/>
  <c r="Q46" i="3"/>
  <c r="P46" i="3"/>
  <c r="N46" i="3"/>
  <c r="M46" i="3"/>
  <c r="T45" i="3"/>
  <c r="S45" i="3"/>
  <c r="R45" i="3"/>
  <c r="Q45" i="3"/>
  <c r="P45" i="3"/>
  <c r="N45" i="3"/>
  <c r="M45" i="3"/>
  <c r="T44" i="3"/>
  <c r="S44" i="3"/>
  <c r="R44" i="3"/>
  <c r="Q44" i="3"/>
  <c r="P44" i="3"/>
  <c r="N44" i="3"/>
  <c r="M44" i="3"/>
  <c r="T43" i="3"/>
  <c r="S43" i="3"/>
  <c r="R43" i="3"/>
  <c r="Q43" i="3"/>
  <c r="P43" i="3"/>
  <c r="N43" i="3"/>
  <c r="M43" i="3"/>
  <c r="T42" i="3"/>
  <c r="S42" i="3"/>
  <c r="R42" i="3"/>
  <c r="Q42" i="3"/>
  <c r="P42" i="3"/>
  <c r="N42" i="3"/>
  <c r="M42" i="3"/>
  <c r="T41" i="3"/>
  <c r="S41" i="3"/>
  <c r="R41" i="3"/>
  <c r="Q41" i="3"/>
  <c r="P41" i="3"/>
  <c r="N41" i="3"/>
  <c r="M41" i="3"/>
  <c r="T40" i="3"/>
  <c r="Q40" i="3"/>
  <c r="P40" i="3"/>
  <c r="O40" i="3"/>
  <c r="N40" i="3"/>
  <c r="T39" i="3"/>
  <c r="S39" i="3"/>
  <c r="R39" i="3"/>
  <c r="Q39" i="3"/>
  <c r="P39" i="3"/>
  <c r="N39" i="3"/>
  <c r="M39" i="3"/>
  <c r="T38" i="3"/>
  <c r="S38" i="3"/>
  <c r="R38" i="3"/>
  <c r="Q38" i="3"/>
  <c r="P38" i="3"/>
  <c r="N38" i="3"/>
  <c r="M38" i="3"/>
  <c r="T35" i="3"/>
  <c r="S35" i="3"/>
  <c r="R35" i="3"/>
  <c r="Q35" i="3"/>
  <c r="P35" i="3"/>
  <c r="N35" i="3"/>
  <c r="M35" i="3"/>
  <c r="T34" i="3"/>
  <c r="S34" i="3"/>
  <c r="R34" i="3"/>
  <c r="Q34" i="3"/>
  <c r="P34" i="3"/>
  <c r="N34" i="3"/>
  <c r="M34" i="3"/>
  <c r="T33" i="3"/>
  <c r="S33" i="3"/>
  <c r="R33" i="3"/>
  <c r="Q33" i="3"/>
  <c r="P33" i="3"/>
  <c r="N33" i="3"/>
  <c r="M33" i="3"/>
  <c r="T32" i="3"/>
  <c r="S32" i="3"/>
  <c r="R32" i="3"/>
  <c r="Q32" i="3"/>
  <c r="P32" i="3"/>
  <c r="N32" i="3"/>
  <c r="M32" i="3"/>
  <c r="T31" i="3"/>
  <c r="S31" i="3"/>
  <c r="R31" i="3"/>
  <c r="Q31" i="3"/>
  <c r="P31" i="3"/>
  <c r="N31" i="3"/>
  <c r="M31" i="3"/>
  <c r="T30" i="3"/>
  <c r="S30" i="3"/>
  <c r="R30" i="3"/>
  <c r="Q30" i="3"/>
  <c r="P30" i="3"/>
  <c r="N30" i="3"/>
  <c r="M30" i="3"/>
  <c r="T29" i="3"/>
  <c r="S29" i="3"/>
  <c r="R29" i="3"/>
  <c r="Q29" i="3"/>
  <c r="P29" i="3"/>
  <c r="O29" i="3"/>
  <c r="N29" i="3"/>
  <c r="M29" i="3"/>
  <c r="T28" i="3"/>
  <c r="S28" i="3"/>
  <c r="Q28" i="3"/>
  <c r="N28" i="3"/>
  <c r="M28" i="3"/>
  <c r="T27" i="3"/>
  <c r="S27" i="3"/>
  <c r="Q27" i="3"/>
  <c r="N27" i="3"/>
  <c r="M27" i="3"/>
  <c r="T25" i="3"/>
  <c r="S25" i="3"/>
  <c r="R25" i="3"/>
  <c r="Q25" i="3"/>
  <c r="P25" i="3"/>
  <c r="N25" i="3"/>
  <c r="M25" i="3"/>
  <c r="T24" i="3"/>
  <c r="S24" i="3"/>
  <c r="R24" i="3"/>
  <c r="Q24" i="3"/>
  <c r="P24" i="3"/>
  <c r="N24" i="3"/>
  <c r="M24" i="3"/>
  <c r="T23" i="3"/>
  <c r="S23" i="3"/>
  <c r="R23" i="3"/>
  <c r="Q23" i="3"/>
  <c r="P23" i="3"/>
  <c r="N23" i="3"/>
  <c r="M23" i="3"/>
  <c r="T22" i="3"/>
  <c r="S22" i="3"/>
  <c r="R22" i="3"/>
  <c r="Q22" i="3"/>
  <c r="P22" i="3"/>
  <c r="N22" i="3"/>
  <c r="M22" i="3"/>
  <c r="T21" i="3"/>
  <c r="S21" i="3"/>
  <c r="R21" i="3"/>
  <c r="Q21" i="3"/>
  <c r="P21" i="3"/>
  <c r="N21" i="3"/>
  <c r="M21" i="3"/>
  <c r="T20" i="3"/>
  <c r="S20" i="3"/>
  <c r="R20" i="3"/>
  <c r="Q20" i="3"/>
  <c r="P20" i="3"/>
  <c r="N20" i="3"/>
  <c r="M20" i="3"/>
  <c r="T19" i="3"/>
  <c r="S19" i="3"/>
  <c r="R19" i="3"/>
  <c r="Q19" i="3"/>
  <c r="P19" i="3"/>
  <c r="N19" i="3"/>
  <c r="M19" i="3"/>
  <c r="T18" i="3"/>
  <c r="S18" i="3"/>
  <c r="R18" i="3"/>
  <c r="Q18" i="3"/>
  <c r="P18" i="3"/>
  <c r="N18" i="3"/>
  <c r="M18" i="3"/>
  <c r="T17" i="3"/>
  <c r="S17" i="3"/>
  <c r="R17" i="3"/>
  <c r="Q17" i="3"/>
  <c r="P17" i="3"/>
  <c r="N17" i="3"/>
  <c r="M17" i="3"/>
  <c r="T16" i="3"/>
  <c r="S16" i="3"/>
  <c r="R16" i="3"/>
  <c r="Q16" i="3"/>
  <c r="P16" i="3"/>
  <c r="N16" i="3"/>
  <c r="M16" i="3"/>
  <c r="S15" i="3"/>
  <c r="Q15" i="3"/>
  <c r="O15" i="3"/>
  <c r="N15" i="3"/>
  <c r="M15" i="3"/>
  <c r="T14" i="3"/>
  <c r="S14" i="3"/>
  <c r="R14" i="3"/>
  <c r="Q14" i="3"/>
  <c r="P14" i="3"/>
  <c r="N14" i="3"/>
  <c r="M14" i="3"/>
  <c r="T13" i="3"/>
  <c r="S13" i="3"/>
  <c r="Q13" i="3"/>
  <c r="P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N10" i="3"/>
  <c r="M10" i="3"/>
  <c r="T9" i="3"/>
  <c r="S9" i="3"/>
  <c r="R9" i="3"/>
  <c r="Q9" i="3"/>
  <c r="P9" i="3"/>
  <c r="N9" i="3"/>
  <c r="M9" i="3"/>
  <c r="T8" i="3"/>
  <c r="S8" i="3"/>
  <c r="R8" i="3"/>
  <c r="Q8" i="3"/>
  <c r="P8" i="3"/>
  <c r="N8" i="3"/>
  <c r="M8" i="3"/>
  <c r="T7" i="3"/>
  <c r="S7" i="3"/>
  <c r="Q7" i="3"/>
  <c r="P7" i="3"/>
  <c r="N7" i="3"/>
  <c r="M7" i="3"/>
  <c r="T242" i="1"/>
  <c r="T241" i="1" s="1"/>
  <c r="S242" i="1"/>
  <c r="S241" i="1" s="1"/>
  <c r="Q242" i="1"/>
  <c r="Q241" i="1" s="1"/>
  <c r="P242" i="1"/>
  <c r="P241" i="1" s="1"/>
  <c r="N242" i="1"/>
  <c r="N241" i="1" s="1"/>
  <c r="M242" i="1"/>
  <c r="M241" i="1" s="1"/>
  <c r="K242" i="1"/>
  <c r="K241" i="1" s="1"/>
  <c r="R241" i="1"/>
  <c r="J241" i="1"/>
  <c r="I241" i="1"/>
  <c r="H241" i="1"/>
  <c r="T239" i="1"/>
  <c r="S239" i="1"/>
  <c r="R239" i="1"/>
  <c r="N239" i="1"/>
  <c r="S238" i="1"/>
  <c r="R238" i="1"/>
  <c r="Q238" i="1"/>
  <c r="P238" i="1"/>
  <c r="N238" i="1"/>
  <c r="T236" i="1"/>
  <c r="S236" i="1"/>
  <c r="R236" i="1"/>
  <c r="Q236" i="1"/>
  <c r="P236" i="1"/>
  <c r="O236" i="1"/>
  <c r="N236" i="1"/>
  <c r="M236" i="1"/>
  <c r="S235" i="1"/>
  <c r="R235" i="1"/>
  <c r="P235" i="1"/>
  <c r="O235" i="1"/>
  <c r="N235" i="1"/>
  <c r="M235" i="1"/>
  <c r="T234" i="1"/>
  <c r="S234" i="1"/>
  <c r="R234" i="1"/>
  <c r="Q234" i="1"/>
  <c r="P234" i="1"/>
  <c r="O234" i="1"/>
  <c r="N234" i="1"/>
  <c r="M234" i="1"/>
  <c r="T233" i="1"/>
  <c r="S233" i="1"/>
  <c r="R233" i="1"/>
  <c r="Q233" i="1"/>
  <c r="P233" i="1"/>
  <c r="O233" i="1"/>
  <c r="N233" i="1"/>
  <c r="M233" i="1"/>
  <c r="S232" i="1"/>
  <c r="R232" i="1"/>
  <c r="Q232" i="1"/>
  <c r="P232" i="1"/>
  <c r="N232" i="1"/>
  <c r="M232" i="1"/>
  <c r="S231" i="1"/>
  <c r="R231" i="1"/>
  <c r="Q231" i="1"/>
  <c r="P231" i="1"/>
  <c r="N231" i="1"/>
  <c r="M231" i="1"/>
  <c r="S230" i="1"/>
  <c r="R230" i="1"/>
  <c r="Q230" i="1"/>
  <c r="P230" i="1"/>
  <c r="O230" i="1"/>
  <c r="N230" i="1"/>
  <c r="M230" i="1"/>
  <c r="S229" i="1"/>
  <c r="R229" i="1"/>
  <c r="Q229" i="1"/>
  <c r="P229" i="1"/>
  <c r="N229" i="1"/>
  <c r="M229" i="1"/>
  <c r="S228" i="1"/>
  <c r="R228" i="1"/>
  <c r="Q228" i="1"/>
  <c r="P228" i="1"/>
  <c r="N228" i="1"/>
  <c r="M228" i="1"/>
  <c r="J227" i="1"/>
  <c r="I227" i="1"/>
  <c r="S226" i="1"/>
  <c r="R226" i="1"/>
  <c r="Q226" i="1"/>
  <c r="P226" i="1"/>
  <c r="N226" i="1"/>
  <c r="S225" i="1"/>
  <c r="R225" i="1"/>
  <c r="Q225" i="1"/>
  <c r="P225" i="1"/>
  <c r="N225" i="1"/>
  <c r="M225" i="1"/>
  <c r="S224" i="1"/>
  <c r="R224" i="1"/>
  <c r="Q224" i="1"/>
  <c r="P224" i="1"/>
  <c r="N224" i="1"/>
  <c r="M224" i="1"/>
  <c r="J223" i="1"/>
  <c r="I223" i="1"/>
  <c r="S222" i="1"/>
  <c r="S221" i="1" s="1"/>
  <c r="R222" i="1"/>
  <c r="R221" i="1" s="1"/>
  <c r="Q222" i="1"/>
  <c r="Q221" i="1" s="1"/>
  <c r="P222" i="1"/>
  <c r="P221" i="1" s="1"/>
  <c r="N222" i="1"/>
  <c r="N221" i="1" s="1"/>
  <c r="M222" i="1"/>
  <c r="M221" i="1" s="1"/>
  <c r="J221" i="1"/>
  <c r="I221" i="1"/>
  <c r="T218" i="1"/>
  <c r="S218" i="1"/>
  <c r="R218" i="1"/>
  <c r="Q218" i="1"/>
  <c r="P218" i="1"/>
  <c r="O218" i="1"/>
  <c r="N218" i="1"/>
  <c r="M218" i="1"/>
  <c r="T217" i="1"/>
  <c r="S217" i="1"/>
  <c r="R217" i="1"/>
  <c r="Q217" i="1"/>
  <c r="P217" i="1"/>
  <c r="O217" i="1"/>
  <c r="N217" i="1"/>
  <c r="M217" i="1"/>
  <c r="T216" i="1"/>
  <c r="S216" i="1"/>
  <c r="R216" i="1"/>
  <c r="Q216" i="1"/>
  <c r="P216" i="1"/>
  <c r="O216" i="1"/>
  <c r="N216" i="1"/>
  <c r="M216" i="1"/>
  <c r="J215" i="1"/>
  <c r="I215" i="1"/>
  <c r="T214" i="1"/>
  <c r="T213" i="1" s="1"/>
  <c r="S214" i="1"/>
  <c r="S213" i="1" s="1"/>
  <c r="R214" i="1"/>
  <c r="R213" i="1" s="1"/>
  <c r="P214" i="1"/>
  <c r="P213" i="1" s="1"/>
  <c r="O214" i="1"/>
  <c r="O213" i="1" s="1"/>
  <c r="N214" i="1"/>
  <c r="N213" i="1" s="1"/>
  <c r="M214" i="1"/>
  <c r="J213" i="1"/>
  <c r="I213" i="1"/>
  <c r="T212" i="1"/>
  <c r="T211" i="1" s="1"/>
  <c r="S212" i="1"/>
  <c r="S211" i="1" s="1"/>
  <c r="R212" i="1"/>
  <c r="R211" i="1" s="1"/>
  <c r="Q212" i="1"/>
  <c r="Q211" i="1" s="1"/>
  <c r="P212" i="1"/>
  <c r="P211" i="1" s="1"/>
  <c r="N212" i="1"/>
  <c r="N211" i="1" s="1"/>
  <c r="M212" i="1"/>
  <c r="M211" i="1" s="1"/>
  <c r="J211" i="1"/>
  <c r="I211" i="1"/>
  <c r="T210" i="1"/>
  <c r="T209" i="1" s="1"/>
  <c r="S210" i="1"/>
  <c r="S209" i="1" s="1"/>
  <c r="R210" i="1"/>
  <c r="R209" i="1" s="1"/>
  <c r="Q210" i="1"/>
  <c r="Q209" i="1" s="1"/>
  <c r="P210" i="1"/>
  <c r="P209" i="1" s="1"/>
  <c r="N210" i="1"/>
  <c r="N209" i="1" s="1"/>
  <c r="M210" i="1"/>
  <c r="J209" i="1"/>
  <c r="I209" i="1"/>
  <c r="T208" i="1"/>
  <c r="S208" i="1"/>
  <c r="R208" i="1"/>
  <c r="Q208" i="1"/>
  <c r="P208" i="1"/>
  <c r="N208" i="1"/>
  <c r="M208" i="1"/>
  <c r="T207" i="1"/>
  <c r="S207" i="1"/>
  <c r="R207" i="1"/>
  <c r="Q207" i="1"/>
  <c r="P207" i="1"/>
  <c r="N207" i="1"/>
  <c r="M207" i="1"/>
  <c r="J206" i="1"/>
  <c r="I206" i="1"/>
  <c r="T204" i="1"/>
  <c r="T203" i="1" s="1"/>
  <c r="S204" i="1"/>
  <c r="S203" i="1" s="1"/>
  <c r="R204" i="1"/>
  <c r="R203" i="1" s="1"/>
  <c r="Q204" i="1"/>
  <c r="Q203" i="1" s="1"/>
  <c r="P204" i="1"/>
  <c r="P203" i="1" s="1"/>
  <c r="O204" i="1"/>
  <c r="O203" i="1" s="1"/>
  <c r="N204" i="1"/>
  <c r="N203" i="1" s="1"/>
  <c r="M204" i="1"/>
  <c r="M203" i="1" s="1"/>
  <c r="K204" i="1"/>
  <c r="K203" i="1" s="1"/>
  <c r="J203" i="1"/>
  <c r="I203" i="1"/>
  <c r="H203" i="1"/>
  <c r="T202" i="1"/>
  <c r="T201" i="1" s="1"/>
  <c r="S202" i="1"/>
  <c r="S201" i="1" s="1"/>
  <c r="R202" i="1"/>
  <c r="R201" i="1" s="1"/>
  <c r="Q202" i="1"/>
  <c r="Q201" i="1" s="1"/>
  <c r="P202" i="1"/>
  <c r="P201" i="1" s="1"/>
  <c r="N202" i="1"/>
  <c r="N201" i="1" s="1"/>
  <c r="M202" i="1"/>
  <c r="M201" i="1" s="1"/>
  <c r="J201" i="1"/>
  <c r="I201" i="1"/>
  <c r="T200" i="1"/>
  <c r="S200" i="1"/>
  <c r="R200" i="1"/>
  <c r="Q200" i="1"/>
  <c r="P200" i="1"/>
  <c r="N200" i="1"/>
  <c r="M200" i="1"/>
  <c r="T199" i="1"/>
  <c r="S199" i="1"/>
  <c r="R199" i="1"/>
  <c r="Q199" i="1"/>
  <c r="P199" i="1"/>
  <c r="N199" i="1"/>
  <c r="M199" i="1"/>
  <c r="T198" i="1"/>
  <c r="S198" i="1"/>
  <c r="R198" i="1"/>
  <c r="Q198" i="1"/>
  <c r="P198" i="1"/>
  <c r="O198" i="1"/>
  <c r="N198" i="1"/>
  <c r="M198" i="1"/>
  <c r="T197" i="1"/>
  <c r="S197" i="1"/>
  <c r="Q197" i="1"/>
  <c r="P197" i="1"/>
  <c r="N197" i="1"/>
  <c r="M197" i="1"/>
  <c r="T196" i="1"/>
  <c r="S196" i="1"/>
  <c r="R196" i="1"/>
  <c r="Q196" i="1"/>
  <c r="P196" i="1"/>
  <c r="N196" i="1"/>
  <c r="M196" i="1"/>
  <c r="T195" i="1"/>
  <c r="S195" i="1"/>
  <c r="R195" i="1"/>
  <c r="Q195" i="1"/>
  <c r="P195" i="1"/>
  <c r="N195" i="1"/>
  <c r="M195" i="1"/>
  <c r="T194" i="1"/>
  <c r="S194" i="1"/>
  <c r="R194" i="1"/>
  <c r="Q194" i="1"/>
  <c r="P194" i="1"/>
  <c r="N194" i="1"/>
  <c r="M194" i="1"/>
  <c r="T193" i="1"/>
  <c r="S193" i="1"/>
  <c r="R193" i="1"/>
  <c r="Q193" i="1"/>
  <c r="P193" i="1"/>
  <c r="N193" i="1"/>
  <c r="M193" i="1"/>
  <c r="T192" i="1"/>
  <c r="S192" i="1"/>
  <c r="R192" i="1"/>
  <c r="Q192" i="1"/>
  <c r="P192" i="1"/>
  <c r="N192" i="1"/>
  <c r="M192" i="1"/>
  <c r="T191" i="1"/>
  <c r="S191" i="1"/>
  <c r="R191" i="1"/>
  <c r="Q191" i="1"/>
  <c r="P191" i="1"/>
  <c r="N191" i="1"/>
  <c r="M191" i="1"/>
  <c r="T190" i="1"/>
  <c r="S190" i="1"/>
  <c r="R190" i="1"/>
  <c r="Q190" i="1"/>
  <c r="P190" i="1"/>
  <c r="N190" i="1"/>
  <c r="M190" i="1"/>
  <c r="T189" i="1"/>
  <c r="S189" i="1"/>
  <c r="R189" i="1"/>
  <c r="Q189" i="1"/>
  <c r="P189" i="1"/>
  <c r="N189" i="1"/>
  <c r="M189" i="1"/>
  <c r="T188" i="1"/>
  <c r="S188" i="1"/>
  <c r="R188" i="1"/>
  <c r="Q188" i="1"/>
  <c r="P188" i="1"/>
  <c r="N188" i="1"/>
  <c r="M188" i="1"/>
  <c r="T187" i="1"/>
  <c r="S187" i="1"/>
  <c r="R187" i="1"/>
  <c r="Q187" i="1"/>
  <c r="P187" i="1"/>
  <c r="O187" i="1"/>
  <c r="N187" i="1"/>
  <c r="M187" i="1"/>
  <c r="T186" i="1"/>
  <c r="S186" i="1"/>
  <c r="R186" i="1"/>
  <c r="Q186" i="1"/>
  <c r="P186" i="1"/>
  <c r="O186" i="1"/>
  <c r="N186" i="1"/>
  <c r="M186" i="1"/>
  <c r="T185" i="1"/>
  <c r="S185" i="1"/>
  <c r="R185" i="1"/>
  <c r="Q185" i="1"/>
  <c r="P185" i="1"/>
  <c r="N185" i="1"/>
  <c r="M185" i="1"/>
  <c r="T184" i="1"/>
  <c r="S184" i="1"/>
  <c r="R184" i="1"/>
  <c r="Q184" i="1"/>
  <c r="P184" i="1"/>
  <c r="N184" i="1"/>
  <c r="M184" i="1"/>
  <c r="T183" i="1"/>
  <c r="S183" i="1"/>
  <c r="R183" i="1"/>
  <c r="Q183" i="1"/>
  <c r="P183" i="1"/>
  <c r="O183" i="1"/>
  <c r="N183" i="1"/>
  <c r="M183" i="1"/>
  <c r="T182" i="1"/>
  <c r="S182" i="1"/>
  <c r="R182" i="1"/>
  <c r="Q182" i="1"/>
  <c r="P182" i="1"/>
  <c r="O182" i="1"/>
  <c r="N182" i="1"/>
  <c r="M182" i="1"/>
  <c r="T181" i="1"/>
  <c r="S181" i="1"/>
  <c r="R181" i="1"/>
  <c r="Q181" i="1"/>
  <c r="P181" i="1"/>
  <c r="O181" i="1"/>
  <c r="N181" i="1"/>
  <c r="M181" i="1"/>
  <c r="T180" i="1"/>
  <c r="S180" i="1"/>
  <c r="R180" i="1"/>
  <c r="Q180" i="1"/>
  <c r="P180" i="1"/>
  <c r="O180" i="1"/>
  <c r="N180" i="1"/>
  <c r="M180" i="1"/>
  <c r="T179" i="1"/>
  <c r="S179" i="1"/>
  <c r="R179" i="1"/>
  <c r="Q179" i="1"/>
  <c r="P179" i="1"/>
  <c r="N179" i="1"/>
  <c r="M179" i="1"/>
  <c r="T178" i="1"/>
  <c r="S178" i="1"/>
  <c r="R178" i="1"/>
  <c r="Q178" i="1"/>
  <c r="P178" i="1"/>
  <c r="N178" i="1"/>
  <c r="M178" i="1"/>
  <c r="T177" i="1"/>
  <c r="S177" i="1"/>
  <c r="R177" i="1"/>
  <c r="Q177" i="1"/>
  <c r="P177" i="1"/>
  <c r="N177" i="1"/>
  <c r="M177" i="1"/>
  <c r="T176" i="1"/>
  <c r="S176" i="1"/>
  <c r="R176" i="1"/>
  <c r="Q176" i="1"/>
  <c r="P176" i="1"/>
  <c r="N176" i="1"/>
  <c r="M176" i="1"/>
  <c r="T175" i="1"/>
  <c r="S175" i="1"/>
  <c r="R175" i="1"/>
  <c r="Q175" i="1"/>
  <c r="P175" i="1"/>
  <c r="N175" i="1"/>
  <c r="M175" i="1"/>
  <c r="T174" i="1"/>
  <c r="S174" i="1"/>
  <c r="R174" i="1"/>
  <c r="Q174" i="1"/>
  <c r="P174" i="1"/>
  <c r="N174" i="1"/>
  <c r="M174" i="1"/>
  <c r="J173" i="1"/>
  <c r="I173" i="1"/>
  <c r="T172" i="1"/>
  <c r="S172" i="1"/>
  <c r="R172" i="1"/>
  <c r="Q172" i="1"/>
  <c r="P172" i="1"/>
  <c r="N172" i="1"/>
  <c r="M172" i="1"/>
  <c r="T171" i="1"/>
  <c r="S171" i="1"/>
  <c r="R171" i="1"/>
  <c r="Q171" i="1"/>
  <c r="P171" i="1"/>
  <c r="N171" i="1"/>
  <c r="M171" i="1"/>
  <c r="T170" i="1"/>
  <c r="S170" i="1"/>
  <c r="R170" i="1"/>
  <c r="Q170" i="1"/>
  <c r="P170" i="1"/>
  <c r="N170" i="1"/>
  <c r="M170" i="1"/>
  <c r="T169" i="1"/>
  <c r="S169" i="1"/>
  <c r="R169" i="1"/>
  <c r="Q169" i="1"/>
  <c r="P169" i="1"/>
  <c r="N169" i="1"/>
  <c r="M169" i="1"/>
  <c r="T168" i="1"/>
  <c r="S168" i="1"/>
  <c r="R168" i="1"/>
  <c r="Q168" i="1"/>
  <c r="P168" i="1"/>
  <c r="N168" i="1"/>
  <c r="M168" i="1"/>
  <c r="K168" i="1"/>
  <c r="T167" i="1"/>
  <c r="S167" i="1"/>
  <c r="R167" i="1"/>
  <c r="Q167" i="1"/>
  <c r="P167" i="1"/>
  <c r="N167" i="1"/>
  <c r="M167" i="1"/>
  <c r="J166" i="1"/>
  <c r="I166" i="1"/>
  <c r="T165" i="1"/>
  <c r="S165" i="1"/>
  <c r="R165" i="1"/>
  <c r="Q165" i="1"/>
  <c r="P165" i="1"/>
  <c r="N165" i="1"/>
  <c r="M165" i="1"/>
  <c r="T164" i="1"/>
  <c r="S164" i="1"/>
  <c r="R164" i="1"/>
  <c r="Q164" i="1"/>
  <c r="P164" i="1"/>
  <c r="O164" i="1"/>
  <c r="N164" i="1"/>
  <c r="M164" i="1"/>
  <c r="T163" i="1"/>
  <c r="S163" i="1"/>
  <c r="R163" i="1"/>
  <c r="Q163" i="1"/>
  <c r="P163" i="1"/>
  <c r="N163" i="1"/>
  <c r="M163" i="1"/>
  <c r="T162" i="1"/>
  <c r="S162" i="1"/>
  <c r="R162" i="1"/>
  <c r="Q162" i="1"/>
  <c r="P162" i="1"/>
  <c r="N162" i="1"/>
  <c r="M162" i="1"/>
  <c r="T161" i="1"/>
  <c r="S161" i="1"/>
  <c r="R161" i="1"/>
  <c r="Q161" i="1"/>
  <c r="P161" i="1"/>
  <c r="N161" i="1"/>
  <c r="M161" i="1"/>
  <c r="T160" i="1"/>
  <c r="S160" i="1"/>
  <c r="R160" i="1"/>
  <c r="Q160" i="1"/>
  <c r="P160" i="1"/>
  <c r="N160" i="1"/>
  <c r="M160" i="1"/>
  <c r="T159" i="1"/>
  <c r="S159" i="1"/>
  <c r="R159" i="1"/>
  <c r="Q159" i="1"/>
  <c r="P159" i="1"/>
  <c r="N159" i="1"/>
  <c r="M159" i="1"/>
  <c r="T158" i="1"/>
  <c r="S158" i="1"/>
  <c r="R158" i="1"/>
  <c r="Q158" i="1"/>
  <c r="P158" i="1"/>
  <c r="N158" i="1"/>
  <c r="M158" i="1"/>
  <c r="T157" i="1"/>
  <c r="S157" i="1"/>
  <c r="R157" i="1"/>
  <c r="Q157" i="1"/>
  <c r="P157" i="1"/>
  <c r="N157" i="1"/>
  <c r="M157" i="1"/>
  <c r="T156" i="1"/>
  <c r="S156" i="1"/>
  <c r="R156" i="1"/>
  <c r="Q156" i="1"/>
  <c r="P156" i="1"/>
  <c r="N156" i="1"/>
  <c r="M156" i="1"/>
  <c r="T155" i="1"/>
  <c r="S155" i="1"/>
  <c r="R155" i="1"/>
  <c r="Q155" i="1"/>
  <c r="P155" i="1"/>
  <c r="N155" i="1"/>
  <c r="M155" i="1"/>
  <c r="T154" i="1"/>
  <c r="S154" i="1"/>
  <c r="R154" i="1"/>
  <c r="Q154" i="1"/>
  <c r="P154" i="1"/>
  <c r="N154" i="1"/>
  <c r="M154" i="1"/>
  <c r="T153" i="1"/>
  <c r="S153" i="1"/>
  <c r="R153" i="1"/>
  <c r="Q153" i="1"/>
  <c r="P153" i="1"/>
  <c r="N153" i="1"/>
  <c r="M153" i="1"/>
  <c r="T152" i="1"/>
  <c r="S152" i="1"/>
  <c r="R152" i="1"/>
  <c r="Q152" i="1"/>
  <c r="P152" i="1"/>
  <c r="O152" i="1"/>
  <c r="N152" i="1"/>
  <c r="M152" i="1"/>
  <c r="T151" i="1"/>
  <c r="S151" i="1"/>
  <c r="R151" i="1"/>
  <c r="Q151" i="1"/>
  <c r="P151" i="1"/>
  <c r="N151" i="1"/>
  <c r="M151" i="1"/>
  <c r="T150" i="1"/>
  <c r="S150" i="1"/>
  <c r="R150" i="1"/>
  <c r="Q150" i="1"/>
  <c r="P150" i="1"/>
  <c r="N150" i="1"/>
  <c r="M150" i="1"/>
  <c r="T149" i="1"/>
  <c r="S149" i="1"/>
  <c r="R149" i="1"/>
  <c r="Q149" i="1"/>
  <c r="P149" i="1"/>
  <c r="N149" i="1"/>
  <c r="M149" i="1"/>
  <c r="T148" i="1"/>
  <c r="S148" i="1"/>
  <c r="R148" i="1"/>
  <c r="Q148" i="1"/>
  <c r="P148" i="1"/>
  <c r="N148" i="1"/>
  <c r="M148" i="1"/>
  <c r="T147" i="1"/>
  <c r="S147" i="1"/>
  <c r="R147" i="1"/>
  <c r="Q147" i="1"/>
  <c r="P147" i="1"/>
  <c r="N147" i="1"/>
  <c r="M147" i="1"/>
  <c r="T146" i="1"/>
  <c r="S146" i="1"/>
  <c r="R146" i="1"/>
  <c r="Q146" i="1"/>
  <c r="P146" i="1"/>
  <c r="N146" i="1"/>
  <c r="M146" i="1"/>
  <c r="J145" i="1"/>
  <c r="T142" i="1"/>
  <c r="S142" i="1"/>
  <c r="R142" i="1"/>
  <c r="Q142" i="1"/>
  <c r="P142" i="1"/>
  <c r="O142" i="1"/>
  <c r="N142" i="1"/>
  <c r="M142" i="1"/>
  <c r="T141" i="1"/>
  <c r="S141" i="1"/>
  <c r="R141" i="1"/>
  <c r="Q141" i="1"/>
  <c r="P141" i="1"/>
  <c r="N141" i="1"/>
  <c r="M141" i="1"/>
  <c r="I140" i="1"/>
  <c r="J140" i="1"/>
  <c r="T139" i="1"/>
  <c r="S139" i="1"/>
  <c r="R139" i="1"/>
  <c r="Q139" i="1"/>
  <c r="P139" i="1"/>
  <c r="O139" i="1"/>
  <c r="N139" i="1"/>
  <c r="M139" i="1"/>
  <c r="T137" i="1"/>
  <c r="S137" i="1"/>
  <c r="R137" i="1"/>
  <c r="P137" i="1"/>
  <c r="O137" i="1"/>
  <c r="N137" i="1"/>
  <c r="M137" i="1"/>
  <c r="K137" i="1"/>
  <c r="T136" i="1"/>
  <c r="S136" i="1"/>
  <c r="R136" i="1"/>
  <c r="P136" i="1"/>
  <c r="O136" i="1"/>
  <c r="N136" i="1"/>
  <c r="M136" i="1"/>
  <c r="T135" i="1"/>
  <c r="S135" i="1"/>
  <c r="R135" i="1"/>
  <c r="Q135" i="1"/>
  <c r="P135" i="1"/>
  <c r="N135" i="1"/>
  <c r="M135" i="1"/>
  <c r="T134" i="1"/>
  <c r="S134" i="1"/>
  <c r="R134" i="1"/>
  <c r="Q134" i="1"/>
  <c r="P134" i="1"/>
  <c r="N134" i="1"/>
  <c r="M134" i="1"/>
  <c r="T133" i="1"/>
  <c r="S133" i="1"/>
  <c r="R133" i="1"/>
  <c r="Q133" i="1"/>
  <c r="P133" i="1"/>
  <c r="N133" i="1"/>
  <c r="M133" i="1"/>
  <c r="T132" i="1"/>
  <c r="S132" i="1"/>
  <c r="R132" i="1"/>
  <c r="Q132" i="1"/>
  <c r="P132" i="1"/>
  <c r="N132" i="1"/>
  <c r="M132" i="1"/>
  <c r="T131" i="1"/>
  <c r="S131" i="1"/>
  <c r="R131" i="1"/>
  <c r="P131" i="1"/>
  <c r="N131" i="1"/>
  <c r="M131" i="1"/>
  <c r="T130" i="1"/>
  <c r="S130" i="1"/>
  <c r="R130" i="1"/>
  <c r="P130" i="1"/>
  <c r="N130" i="1"/>
  <c r="T129" i="1"/>
  <c r="S129" i="1"/>
  <c r="R129" i="1"/>
  <c r="Q129" i="1"/>
  <c r="P129" i="1"/>
  <c r="O129" i="1"/>
  <c r="N129" i="1"/>
  <c r="M129" i="1"/>
  <c r="T128" i="1"/>
  <c r="S128" i="1"/>
  <c r="R128" i="1"/>
  <c r="Q128" i="1"/>
  <c r="P128" i="1"/>
  <c r="N128" i="1"/>
  <c r="M128" i="1"/>
  <c r="T127" i="1"/>
  <c r="S127" i="1"/>
  <c r="R127" i="1"/>
  <c r="Q127" i="1"/>
  <c r="P127" i="1"/>
  <c r="N127" i="1"/>
  <c r="M127" i="1"/>
  <c r="T126" i="1"/>
  <c r="S126" i="1"/>
  <c r="R126" i="1"/>
  <c r="Q126" i="1"/>
  <c r="P126" i="1"/>
  <c r="N126" i="1"/>
  <c r="M126" i="1"/>
  <c r="T125" i="1"/>
  <c r="S125" i="1"/>
  <c r="R125" i="1"/>
  <c r="Q125" i="1"/>
  <c r="P125" i="1"/>
  <c r="N125" i="1"/>
  <c r="M125" i="1"/>
  <c r="T124" i="1"/>
  <c r="S124" i="1"/>
  <c r="R124" i="1"/>
  <c r="Q124" i="1"/>
  <c r="P124" i="1"/>
  <c r="N124" i="1"/>
  <c r="M124" i="1"/>
  <c r="T123" i="1"/>
  <c r="S123" i="1"/>
  <c r="R123" i="1"/>
  <c r="Q123" i="1"/>
  <c r="P123" i="1"/>
  <c r="N123" i="1"/>
  <c r="M123" i="1"/>
  <c r="T122" i="1"/>
  <c r="S122" i="1"/>
  <c r="R122" i="1"/>
  <c r="Q122" i="1"/>
  <c r="P122" i="1"/>
  <c r="N122" i="1"/>
  <c r="M122" i="1"/>
  <c r="T121" i="1"/>
  <c r="S121" i="1"/>
  <c r="R121" i="1"/>
  <c r="Q121" i="1"/>
  <c r="P121" i="1"/>
  <c r="N121" i="1"/>
  <c r="M121" i="1"/>
  <c r="T120" i="1"/>
  <c r="S120" i="1"/>
  <c r="R120" i="1"/>
  <c r="Q120" i="1"/>
  <c r="P120" i="1"/>
  <c r="N120" i="1"/>
  <c r="M120" i="1"/>
  <c r="T119" i="1"/>
  <c r="S119" i="1"/>
  <c r="R119" i="1"/>
  <c r="Q119" i="1"/>
  <c r="P119" i="1"/>
  <c r="N119" i="1"/>
  <c r="M119" i="1"/>
  <c r="T118" i="1"/>
  <c r="S118" i="1"/>
  <c r="R118" i="1"/>
  <c r="Q118" i="1"/>
  <c r="P118" i="1"/>
  <c r="N118" i="1"/>
  <c r="M118" i="1"/>
  <c r="T117" i="1"/>
  <c r="S117" i="1"/>
  <c r="R117" i="1"/>
  <c r="Q117" i="1"/>
  <c r="P117" i="1"/>
  <c r="N117" i="1"/>
  <c r="M117" i="1"/>
  <c r="T116" i="1"/>
  <c r="S116" i="1"/>
  <c r="R116" i="1"/>
  <c r="Q116" i="1"/>
  <c r="P116" i="1"/>
  <c r="N116" i="1"/>
  <c r="M116" i="1"/>
  <c r="I115" i="1"/>
  <c r="J115" i="1"/>
  <c r="T114" i="1"/>
  <c r="S114" i="1"/>
  <c r="R114" i="1"/>
  <c r="Q114" i="1"/>
  <c r="P114" i="1"/>
  <c r="O114" i="1"/>
  <c r="N114" i="1"/>
  <c r="M114" i="1"/>
  <c r="T111" i="1"/>
  <c r="S111" i="1"/>
  <c r="R111" i="1"/>
  <c r="Q111" i="1"/>
  <c r="P111" i="1"/>
  <c r="N111" i="1"/>
  <c r="M111" i="1"/>
  <c r="T110" i="1"/>
  <c r="S110" i="1"/>
  <c r="R110" i="1"/>
  <c r="Q110" i="1"/>
  <c r="P110" i="1"/>
  <c r="N110" i="1"/>
  <c r="M110" i="1"/>
  <c r="T109" i="1"/>
  <c r="S109" i="1"/>
  <c r="R109" i="1"/>
  <c r="Q109" i="1"/>
  <c r="P109" i="1"/>
  <c r="N109" i="1"/>
  <c r="M109" i="1"/>
  <c r="T108" i="1"/>
  <c r="S108" i="1"/>
  <c r="R108" i="1"/>
  <c r="Q108" i="1"/>
  <c r="P108" i="1"/>
  <c r="N108" i="1"/>
  <c r="M108" i="1"/>
  <c r="T107" i="1"/>
  <c r="S107" i="1"/>
  <c r="R107" i="1"/>
  <c r="Q107" i="1"/>
  <c r="P107" i="1"/>
  <c r="N107" i="1"/>
  <c r="M107" i="1"/>
  <c r="T106" i="1"/>
  <c r="S106" i="1"/>
  <c r="R106" i="1"/>
  <c r="Q106" i="1"/>
  <c r="P106" i="1"/>
  <c r="N106" i="1"/>
  <c r="M106" i="1"/>
  <c r="T105" i="1"/>
  <c r="S105" i="1"/>
  <c r="R105" i="1"/>
  <c r="Q105" i="1"/>
  <c r="P105" i="1"/>
  <c r="N105" i="1"/>
  <c r="M105" i="1"/>
  <c r="T104" i="1"/>
  <c r="S104" i="1"/>
  <c r="R104" i="1"/>
  <c r="Q104" i="1"/>
  <c r="P104" i="1"/>
  <c r="N104" i="1"/>
  <c r="M104" i="1"/>
  <c r="T103" i="1"/>
  <c r="S103" i="1"/>
  <c r="R103" i="1"/>
  <c r="Q103" i="1"/>
  <c r="P103" i="1"/>
  <c r="N103" i="1"/>
  <c r="M103" i="1"/>
  <c r="T102" i="1"/>
  <c r="S102" i="1"/>
  <c r="R102" i="1"/>
  <c r="Q102" i="1"/>
  <c r="P102" i="1"/>
  <c r="N102" i="1"/>
  <c r="M102" i="1"/>
  <c r="AA103" i="1"/>
  <c r="T101" i="1"/>
  <c r="S101" i="1"/>
  <c r="R101" i="1"/>
  <c r="Q101" i="1"/>
  <c r="P101" i="1"/>
  <c r="N101" i="1"/>
  <c r="M101" i="1"/>
  <c r="T100" i="1"/>
  <c r="S100" i="1"/>
  <c r="R100" i="1"/>
  <c r="Q100" i="1"/>
  <c r="P100" i="1"/>
  <c r="N100" i="1"/>
  <c r="M100" i="1"/>
  <c r="T99" i="1"/>
  <c r="S99" i="1"/>
  <c r="R99" i="1"/>
  <c r="Q99" i="1"/>
  <c r="P99" i="1"/>
  <c r="N99" i="1"/>
  <c r="M99" i="1"/>
  <c r="T98" i="1"/>
  <c r="S98" i="1"/>
  <c r="R98" i="1"/>
  <c r="Q98" i="1"/>
  <c r="P98" i="1"/>
  <c r="N98" i="1"/>
  <c r="M98" i="1"/>
  <c r="T97" i="1"/>
  <c r="S97" i="1"/>
  <c r="R97" i="1"/>
  <c r="Q97" i="1"/>
  <c r="P97" i="1"/>
  <c r="N97" i="1"/>
  <c r="M97" i="1"/>
  <c r="T96" i="1"/>
  <c r="S96" i="1"/>
  <c r="R96" i="1"/>
  <c r="Q96" i="1"/>
  <c r="P96" i="1"/>
  <c r="N96" i="1"/>
  <c r="M96" i="1"/>
  <c r="T95" i="1"/>
  <c r="S95" i="1"/>
  <c r="R95" i="1"/>
  <c r="Q95" i="1"/>
  <c r="P95" i="1"/>
  <c r="N95" i="1"/>
  <c r="M95" i="1"/>
  <c r="T94" i="1"/>
  <c r="S94" i="1"/>
  <c r="R94" i="1"/>
  <c r="Q94" i="1"/>
  <c r="P94" i="1"/>
  <c r="N94" i="1"/>
  <c r="M94" i="1"/>
  <c r="T93" i="1"/>
  <c r="S93" i="1"/>
  <c r="R93" i="1"/>
  <c r="Q93" i="1"/>
  <c r="P93" i="1"/>
  <c r="N93" i="1"/>
  <c r="M93" i="1"/>
  <c r="T92" i="1"/>
  <c r="S92" i="1"/>
  <c r="R92" i="1"/>
  <c r="Q92" i="1"/>
  <c r="P92" i="1"/>
  <c r="N92" i="1"/>
  <c r="M92" i="1"/>
  <c r="T91" i="1"/>
  <c r="S91" i="1"/>
  <c r="R91" i="1"/>
  <c r="Q91" i="1"/>
  <c r="P91" i="1"/>
  <c r="N91" i="1"/>
  <c r="M91" i="1"/>
  <c r="J90" i="1"/>
  <c r="I90" i="1"/>
  <c r="T89" i="1"/>
  <c r="S89" i="1"/>
  <c r="R89" i="1"/>
  <c r="Q89" i="1"/>
  <c r="P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N87" i="1"/>
  <c r="M87" i="1"/>
  <c r="I86" i="1"/>
  <c r="J86" i="1"/>
  <c r="T85" i="1"/>
  <c r="S85" i="1"/>
  <c r="R85" i="1"/>
  <c r="Q85" i="1"/>
  <c r="P85" i="1"/>
  <c r="N85" i="1"/>
  <c r="M85" i="1"/>
  <c r="T84" i="1"/>
  <c r="S84" i="1"/>
  <c r="R84" i="1"/>
  <c r="Q84" i="1"/>
  <c r="P84" i="1"/>
  <c r="N84" i="1"/>
  <c r="M84" i="1"/>
  <c r="T83" i="1"/>
  <c r="S83" i="1"/>
  <c r="R83" i="1"/>
  <c r="Q83" i="1"/>
  <c r="P83" i="1"/>
  <c r="N83" i="1"/>
  <c r="M83" i="1"/>
  <c r="T82" i="1"/>
  <c r="S82" i="1"/>
  <c r="R82" i="1"/>
  <c r="Q82" i="1"/>
  <c r="P82" i="1"/>
  <c r="N82" i="1"/>
  <c r="M82" i="1"/>
  <c r="J81" i="1"/>
  <c r="I81" i="1"/>
  <c r="T80" i="1"/>
  <c r="S80" i="1"/>
  <c r="R80" i="1"/>
  <c r="Q80" i="1"/>
  <c r="P80" i="1"/>
  <c r="N80" i="1"/>
  <c r="M80" i="1"/>
  <c r="T79" i="1"/>
  <c r="S79" i="1"/>
  <c r="R79" i="1"/>
  <c r="Q79" i="1"/>
  <c r="P79" i="1"/>
  <c r="N79" i="1"/>
  <c r="M79" i="1"/>
  <c r="T78" i="1"/>
  <c r="S78" i="1"/>
  <c r="R78" i="1"/>
  <c r="Q78" i="1"/>
  <c r="P78" i="1"/>
  <c r="N78" i="1"/>
  <c r="M78" i="1"/>
  <c r="T77" i="1"/>
  <c r="S77" i="1"/>
  <c r="R77" i="1"/>
  <c r="Q77" i="1"/>
  <c r="P77" i="1"/>
  <c r="O77" i="1"/>
  <c r="N77" i="1"/>
  <c r="M77" i="1"/>
  <c r="K77" i="1"/>
  <c r="T76" i="1"/>
  <c r="S76" i="1"/>
  <c r="R76" i="1"/>
  <c r="Q76" i="1"/>
  <c r="P76" i="1"/>
  <c r="O76" i="1"/>
  <c r="N76" i="1"/>
  <c r="M76" i="1"/>
  <c r="T75" i="1"/>
  <c r="S75" i="1"/>
  <c r="Q75" i="1"/>
  <c r="P75" i="1"/>
  <c r="O75" i="1"/>
  <c r="N75" i="1"/>
  <c r="M75" i="1"/>
  <c r="T74" i="1"/>
  <c r="S74" i="1"/>
  <c r="R74" i="1"/>
  <c r="Q74" i="1"/>
  <c r="P74" i="1"/>
  <c r="N74" i="1"/>
  <c r="M74" i="1"/>
  <c r="T73" i="1"/>
  <c r="S73" i="1"/>
  <c r="R73" i="1"/>
  <c r="Q73" i="1"/>
  <c r="P73" i="1"/>
  <c r="N73" i="1"/>
  <c r="M73" i="1"/>
  <c r="I72" i="1"/>
  <c r="J72" i="1"/>
  <c r="T70" i="1"/>
  <c r="S70" i="1"/>
  <c r="Q70" i="1"/>
  <c r="P70" i="1"/>
  <c r="N70" i="1"/>
  <c r="M70" i="1"/>
  <c r="T69" i="1"/>
  <c r="S69" i="1"/>
  <c r="Q69" i="1"/>
  <c r="P69" i="1"/>
  <c r="N69" i="1"/>
  <c r="M69" i="1"/>
  <c r="T68" i="1"/>
  <c r="S68" i="1"/>
  <c r="R68" i="1"/>
  <c r="Q68" i="1"/>
  <c r="P68" i="1"/>
  <c r="O68" i="1"/>
  <c r="N68" i="1"/>
  <c r="M68" i="1"/>
  <c r="T67" i="1"/>
  <c r="S67" i="1"/>
  <c r="R67" i="1"/>
  <c r="Q67" i="1"/>
  <c r="P67" i="1"/>
  <c r="O67" i="1"/>
  <c r="N67" i="1"/>
  <c r="M67" i="1"/>
  <c r="T66" i="1"/>
  <c r="S66" i="1"/>
  <c r="R66" i="1"/>
  <c r="Q66" i="1"/>
  <c r="P66" i="1"/>
  <c r="N66" i="1"/>
  <c r="M66" i="1"/>
  <c r="T65" i="1"/>
  <c r="S65" i="1"/>
  <c r="R65" i="1"/>
  <c r="Q65" i="1"/>
  <c r="P65" i="1"/>
  <c r="N65" i="1"/>
  <c r="M65" i="1"/>
  <c r="T64" i="1"/>
  <c r="S64" i="1"/>
  <c r="R64" i="1"/>
  <c r="Q64" i="1"/>
  <c r="P64" i="1"/>
  <c r="O64" i="1"/>
  <c r="N64" i="1"/>
  <c r="M64" i="1"/>
  <c r="T63" i="1"/>
  <c r="S63" i="1"/>
  <c r="R63" i="1"/>
  <c r="Q63" i="1"/>
  <c r="P63" i="1"/>
  <c r="N63" i="1"/>
  <c r="M63" i="1"/>
  <c r="T62" i="1"/>
  <c r="S62" i="1"/>
  <c r="R62" i="1"/>
  <c r="Q62" i="1"/>
  <c r="P62" i="1"/>
  <c r="N62" i="1"/>
  <c r="M62" i="1"/>
  <c r="T61" i="1"/>
  <c r="S61" i="1"/>
  <c r="R61" i="1"/>
  <c r="Q61" i="1"/>
  <c r="P61" i="1"/>
  <c r="N61" i="1"/>
  <c r="M61" i="1"/>
  <c r="T60" i="1"/>
  <c r="S60" i="1"/>
  <c r="R60" i="1"/>
  <c r="Q60" i="1"/>
  <c r="P60" i="1"/>
  <c r="N60" i="1"/>
  <c r="M60" i="1"/>
  <c r="T59" i="1"/>
  <c r="S59" i="1"/>
  <c r="R59" i="1"/>
  <c r="Q59" i="1"/>
  <c r="P59" i="1"/>
  <c r="N59" i="1"/>
  <c r="M59" i="1"/>
  <c r="T58" i="1"/>
  <c r="S58" i="1"/>
  <c r="R58" i="1"/>
  <c r="Q58" i="1"/>
  <c r="P58" i="1"/>
  <c r="N58" i="1"/>
  <c r="M58" i="1"/>
  <c r="T57" i="1"/>
  <c r="S57" i="1"/>
  <c r="R57" i="1"/>
  <c r="Q57" i="1"/>
  <c r="P57" i="1"/>
  <c r="N57" i="1"/>
  <c r="M57" i="1"/>
  <c r="T56" i="1"/>
  <c r="S56" i="1"/>
  <c r="R56" i="1"/>
  <c r="Q56" i="1"/>
  <c r="P56" i="1"/>
  <c r="N56" i="1"/>
  <c r="M56" i="1"/>
  <c r="T55" i="1"/>
  <c r="S55" i="1"/>
  <c r="R55" i="1"/>
  <c r="Q55" i="1"/>
  <c r="P55" i="1"/>
  <c r="N55" i="1"/>
  <c r="M55" i="1"/>
  <c r="I54" i="1"/>
  <c r="J54" i="1"/>
  <c r="T53" i="1"/>
  <c r="S53" i="1"/>
  <c r="R53" i="1"/>
  <c r="Q53" i="1"/>
  <c r="P53" i="1"/>
  <c r="N53" i="1"/>
  <c r="M53" i="1"/>
  <c r="T52" i="1"/>
  <c r="S52" i="1"/>
  <c r="R52" i="1"/>
  <c r="Q52" i="1"/>
  <c r="P52" i="1"/>
  <c r="N52" i="1"/>
  <c r="M52" i="1"/>
  <c r="T51" i="1"/>
  <c r="S51" i="1"/>
  <c r="R51" i="1"/>
  <c r="Q51" i="1"/>
  <c r="P51" i="1"/>
  <c r="N51" i="1"/>
  <c r="M51" i="1"/>
  <c r="T50" i="1"/>
  <c r="S50" i="1"/>
  <c r="R50" i="1"/>
  <c r="Q50" i="1"/>
  <c r="P50" i="1"/>
  <c r="N50" i="1"/>
  <c r="M50" i="1"/>
  <c r="J49" i="1"/>
  <c r="I49" i="1"/>
  <c r="T48" i="1"/>
  <c r="S48" i="1"/>
  <c r="R48" i="1"/>
  <c r="Q48" i="1"/>
  <c r="P48" i="1"/>
  <c r="N48" i="1"/>
  <c r="M48" i="1"/>
  <c r="T47" i="1"/>
  <c r="S47" i="1"/>
  <c r="R47" i="1"/>
  <c r="Q47" i="1"/>
  <c r="P47" i="1"/>
  <c r="N47" i="1"/>
  <c r="M47" i="1"/>
  <c r="T46" i="1"/>
  <c r="S46" i="1"/>
  <c r="R46" i="1"/>
  <c r="Q46" i="1"/>
  <c r="P46" i="1"/>
  <c r="N46" i="1"/>
  <c r="M46" i="1"/>
  <c r="T45" i="1"/>
  <c r="S45" i="1"/>
  <c r="R45" i="1"/>
  <c r="Q45" i="1"/>
  <c r="P45" i="1"/>
  <c r="N45" i="1"/>
  <c r="M45" i="1"/>
  <c r="T44" i="1"/>
  <c r="S44" i="1"/>
  <c r="R44" i="1"/>
  <c r="Q44" i="1"/>
  <c r="P44" i="1"/>
  <c r="N44" i="1"/>
  <c r="M44" i="1"/>
  <c r="T43" i="1"/>
  <c r="S43" i="1"/>
  <c r="R43" i="1"/>
  <c r="Q43" i="1"/>
  <c r="P43" i="1"/>
  <c r="N43" i="1"/>
  <c r="M43" i="1"/>
  <c r="T42" i="1"/>
  <c r="S42" i="1"/>
  <c r="Q42" i="1"/>
  <c r="N42" i="1"/>
  <c r="M42" i="1"/>
  <c r="T41" i="1"/>
  <c r="S41" i="1"/>
  <c r="R41" i="1"/>
  <c r="Q41" i="1"/>
  <c r="P41" i="1"/>
  <c r="N41" i="1"/>
  <c r="M41" i="1"/>
  <c r="T40" i="1"/>
  <c r="S40" i="1"/>
  <c r="Q40" i="1"/>
  <c r="N40" i="1"/>
  <c r="M40" i="1"/>
  <c r="I39" i="1"/>
  <c r="J39" i="1"/>
  <c r="T38" i="1"/>
  <c r="S38" i="1"/>
  <c r="R38" i="1"/>
  <c r="Q38" i="1"/>
  <c r="P38" i="1"/>
  <c r="N38" i="1"/>
  <c r="M38" i="1"/>
  <c r="T37" i="1"/>
  <c r="S37" i="1"/>
  <c r="R37" i="1"/>
  <c r="Q37" i="1"/>
  <c r="P37" i="1"/>
  <c r="N37" i="1"/>
  <c r="M37" i="1"/>
  <c r="T36" i="1"/>
  <c r="S36" i="1"/>
  <c r="R36" i="1"/>
  <c r="Q36" i="1"/>
  <c r="P36" i="1"/>
  <c r="N36" i="1"/>
  <c r="M36" i="1"/>
  <c r="T35" i="1"/>
  <c r="S35" i="1"/>
  <c r="R35" i="1"/>
  <c r="Q35" i="1"/>
  <c r="P35" i="1"/>
  <c r="N35" i="1"/>
  <c r="M35" i="1"/>
  <c r="J34" i="1"/>
  <c r="I34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N32" i="1"/>
  <c r="M32" i="1"/>
  <c r="T31" i="1"/>
  <c r="S31" i="1"/>
  <c r="R31" i="1"/>
  <c r="Q31" i="1"/>
  <c r="P31" i="1"/>
  <c r="N31" i="1"/>
  <c r="M31" i="1"/>
  <c r="T30" i="1"/>
  <c r="S30" i="1"/>
  <c r="R30" i="1"/>
  <c r="Q30" i="1"/>
  <c r="P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N28" i="1"/>
  <c r="M28" i="1"/>
  <c r="T27" i="1"/>
  <c r="S27" i="1"/>
  <c r="R27" i="1"/>
  <c r="Q27" i="1"/>
  <c r="P27" i="1"/>
  <c r="O27" i="1"/>
  <c r="N27" i="1"/>
  <c r="M27" i="1"/>
  <c r="T26" i="1"/>
  <c r="S26" i="1"/>
  <c r="R26" i="1"/>
  <c r="Q26" i="1"/>
  <c r="P26" i="1"/>
  <c r="N26" i="1"/>
  <c r="M26" i="1"/>
  <c r="T25" i="1"/>
  <c r="S25" i="1"/>
  <c r="Q25" i="1"/>
  <c r="P25" i="1"/>
  <c r="N25" i="1"/>
  <c r="M25" i="1"/>
  <c r="T24" i="1"/>
  <c r="S24" i="1"/>
  <c r="R24" i="1"/>
  <c r="Q24" i="1"/>
  <c r="P24" i="1"/>
  <c r="N24" i="1"/>
  <c r="M24" i="1"/>
  <c r="T23" i="1"/>
  <c r="S23" i="1"/>
  <c r="R23" i="1"/>
  <c r="Q23" i="1"/>
  <c r="P23" i="1"/>
  <c r="N23" i="1"/>
  <c r="M23" i="1"/>
  <c r="T22" i="1"/>
  <c r="S22" i="1"/>
  <c r="R22" i="1"/>
  <c r="Q22" i="1"/>
  <c r="P22" i="1"/>
  <c r="N22" i="1"/>
  <c r="M22" i="1"/>
  <c r="T21" i="1"/>
  <c r="S21" i="1"/>
  <c r="R21" i="1"/>
  <c r="Q21" i="1"/>
  <c r="P21" i="1"/>
  <c r="N21" i="1"/>
  <c r="M21" i="1"/>
  <c r="T20" i="1"/>
  <c r="S20" i="1"/>
  <c r="R20" i="1"/>
  <c r="Q20" i="1"/>
  <c r="P20" i="1"/>
  <c r="N20" i="1"/>
  <c r="M20" i="1"/>
  <c r="T19" i="1"/>
  <c r="S19" i="1"/>
  <c r="R19" i="1"/>
  <c r="Q19" i="1"/>
  <c r="P19" i="1"/>
  <c r="N19" i="1"/>
  <c r="M19" i="1"/>
  <c r="T18" i="1"/>
  <c r="S18" i="1"/>
  <c r="R18" i="1"/>
  <c r="Q18" i="1"/>
  <c r="P18" i="1"/>
  <c r="N18" i="1"/>
  <c r="M18" i="1"/>
  <c r="T17" i="1"/>
  <c r="S17" i="1"/>
  <c r="Q17" i="1"/>
  <c r="P17" i="1"/>
  <c r="N17" i="1"/>
  <c r="M17" i="1"/>
  <c r="T16" i="1"/>
  <c r="S16" i="1"/>
  <c r="R16" i="1"/>
  <c r="Q16" i="1"/>
  <c r="P16" i="1"/>
  <c r="N16" i="1"/>
  <c r="M16" i="1"/>
  <c r="T15" i="1"/>
  <c r="S15" i="1"/>
  <c r="R15" i="1"/>
  <c r="Q15" i="1"/>
  <c r="P15" i="1"/>
  <c r="N15" i="1"/>
  <c r="M15" i="1"/>
  <c r="I14" i="1"/>
  <c r="J14" i="1"/>
  <c r="T13" i="1"/>
  <c r="S13" i="1"/>
  <c r="R13" i="1"/>
  <c r="Q13" i="1"/>
  <c r="P13" i="1"/>
  <c r="N13" i="1"/>
  <c r="M13" i="1"/>
  <c r="T12" i="1"/>
  <c r="S12" i="1"/>
  <c r="R12" i="1"/>
  <c r="Q12" i="1"/>
  <c r="P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J9" i="1"/>
  <c r="H97" i="17"/>
  <c r="G97" i="17"/>
  <c r="H89" i="17"/>
  <c r="G89" i="17"/>
  <c r="G84" i="17"/>
  <c r="F84" i="17"/>
  <c r="H27" i="17"/>
  <c r="H80" i="17" s="1"/>
  <c r="H79" i="17" s="1"/>
  <c r="G27" i="17"/>
  <c r="G80" i="17" s="1"/>
  <c r="G79" i="17" s="1"/>
  <c r="F27" i="17"/>
  <c r="F26" i="17" s="1"/>
  <c r="H24" i="17"/>
  <c r="H77" i="17" s="1"/>
  <c r="G24" i="17"/>
  <c r="G77" i="17" s="1"/>
  <c r="H23" i="17"/>
  <c r="H76" i="17" s="1"/>
  <c r="G23" i="17"/>
  <c r="G76" i="17" s="1"/>
  <c r="H21" i="17"/>
  <c r="H74" i="17" s="1"/>
  <c r="G21" i="17"/>
  <c r="G74" i="17" s="1"/>
  <c r="H20" i="17"/>
  <c r="H73" i="17" s="1"/>
  <c r="G20" i="17"/>
  <c r="G73" i="17" s="1"/>
  <c r="H19" i="17"/>
  <c r="H72" i="17" s="1"/>
  <c r="G19" i="17"/>
  <c r="G72" i="17" s="1"/>
  <c r="H18" i="17"/>
  <c r="G18" i="17"/>
  <c r="G71" i="17" s="1"/>
  <c r="H17" i="17"/>
  <c r="H70" i="17" s="1"/>
  <c r="G17" i="17"/>
  <c r="G70" i="17" s="1"/>
  <c r="H16" i="17"/>
  <c r="H69" i="17" s="1"/>
  <c r="G16" i="17"/>
  <c r="G69" i="17" s="1"/>
  <c r="H15" i="17"/>
  <c r="H68" i="17" s="1"/>
  <c r="G15" i="17"/>
  <c r="G68" i="17" s="1"/>
  <c r="H14" i="17"/>
  <c r="H67" i="17" s="1"/>
  <c r="G14" i="17"/>
  <c r="G67" i="17" s="1"/>
  <c r="H12" i="17"/>
  <c r="H65" i="17" s="1"/>
  <c r="G12" i="17"/>
  <c r="G65" i="17" s="1"/>
  <c r="H11" i="17"/>
  <c r="H64" i="17" s="1"/>
  <c r="G11" i="17"/>
  <c r="G64" i="17" s="1"/>
  <c r="H10" i="17"/>
  <c r="G10" i="17"/>
  <c r="G63" i="17" s="1"/>
  <c r="H8" i="17"/>
  <c r="H61" i="17" s="1"/>
  <c r="H60" i="17" s="1"/>
  <c r="G8" i="17"/>
  <c r="G7" i="17" s="1"/>
  <c r="H4" i="17"/>
  <c r="H84" i="17" s="1"/>
  <c r="L67" i="31" l="1"/>
  <c r="P67" i="31" s="1"/>
  <c r="L166" i="31"/>
  <c r="M166" i="31" s="1"/>
  <c r="L16" i="31"/>
  <c r="M16" i="31" s="1"/>
  <c r="L217" i="31"/>
  <c r="M217" i="31" s="1"/>
  <c r="L238" i="31"/>
  <c r="M238" i="31" s="1"/>
  <c r="L17" i="31"/>
  <c r="M17" i="31" s="1"/>
  <c r="L66" i="31"/>
  <c r="M66" i="31" s="1"/>
  <c r="I181" i="23"/>
  <c r="I361" i="23" s="1"/>
  <c r="I300" i="23"/>
  <c r="I362" i="23" s="1"/>
  <c r="E15" i="39"/>
  <c r="R16" i="35"/>
  <c r="M22" i="35"/>
  <c r="J92" i="24"/>
  <c r="M22" i="11"/>
  <c r="S22" i="11" s="1"/>
  <c r="I7" i="38"/>
  <c r="I6" i="38" s="1"/>
  <c r="I4" i="38" s="1"/>
  <c r="AE21" i="35"/>
  <c r="AE13" i="12"/>
  <c r="M10" i="15"/>
  <c r="S10" i="15" s="1"/>
  <c r="U10" i="15" s="1"/>
  <c r="Q25" i="19" s="1"/>
  <c r="M8" i="15"/>
  <c r="J181" i="23"/>
  <c r="J361" i="23" s="1"/>
  <c r="M93" i="24"/>
  <c r="G7" i="25"/>
  <c r="G6" i="25" s="1"/>
  <c r="H59" i="25"/>
  <c r="I11" i="34"/>
  <c r="N13" i="19"/>
  <c r="G26" i="19" s="1"/>
  <c r="P26" i="19" s="1"/>
  <c r="J35" i="26"/>
  <c r="N35" i="26" s="1"/>
  <c r="H7" i="25"/>
  <c r="H6" i="25" s="1"/>
  <c r="R8" i="15"/>
  <c r="F98" i="24"/>
  <c r="G15" i="39"/>
  <c r="AG17" i="35"/>
  <c r="AI17" i="35" s="1"/>
  <c r="K13" i="4"/>
  <c r="I13" i="4"/>
  <c r="L19" i="4"/>
  <c r="N19" i="4" s="1"/>
  <c r="J19" i="4"/>
  <c r="I11" i="4"/>
  <c r="L11" i="4" s="1"/>
  <c r="N11" i="4" s="1"/>
  <c r="K11" i="4"/>
  <c r="K16" i="4"/>
  <c r="I16" i="4"/>
  <c r="O304" i="23"/>
  <c r="I10" i="4"/>
  <c r="K10" i="4"/>
  <c r="M94" i="24"/>
  <c r="J94" i="24"/>
  <c r="O242" i="23" s="1"/>
  <c r="P240" i="23"/>
  <c r="M104" i="24"/>
  <c r="P315" i="23" s="1"/>
  <c r="J90" i="24"/>
  <c r="G84" i="25"/>
  <c r="G93" i="25" s="1"/>
  <c r="G96" i="25" s="1"/>
  <c r="F94" i="25" s="1"/>
  <c r="L12" i="15"/>
  <c r="H300" i="23"/>
  <c r="H362" i="23" s="1"/>
  <c r="M315" i="23"/>
  <c r="H84" i="25"/>
  <c r="H93" i="25" s="1"/>
  <c r="H96" i="25" s="1"/>
  <c r="H7" i="4"/>
  <c r="I7" i="4" s="1"/>
  <c r="I15" i="4"/>
  <c r="K19" i="4"/>
  <c r="AD19" i="11"/>
  <c r="R8" i="35"/>
  <c r="W8" i="35" s="1"/>
  <c r="AF21" i="35"/>
  <c r="AE17" i="12"/>
  <c r="H15" i="14"/>
  <c r="T232" i="1" s="1"/>
  <c r="O11" i="21"/>
  <c r="O12" i="21" s="1"/>
  <c r="R9" i="15"/>
  <c r="J12" i="19"/>
  <c r="N12" i="19" s="1"/>
  <c r="G25" i="19" s="1"/>
  <c r="P25" i="19" s="1"/>
  <c r="G91" i="24"/>
  <c r="M91" i="24" s="1"/>
  <c r="O183" i="23" s="1"/>
  <c r="I18" i="4"/>
  <c r="CC24" i="11"/>
  <c r="CB28" i="11" s="1"/>
  <c r="R9" i="35"/>
  <c r="W9" i="35" s="1"/>
  <c r="AB9" i="35" s="1"/>
  <c r="AG9" i="35" s="1"/>
  <c r="AI9" i="35" s="1"/>
  <c r="W17" i="35"/>
  <c r="Y17" i="35" s="1"/>
  <c r="M12" i="21"/>
  <c r="S8" i="15"/>
  <c r="U8" i="15" s="1"/>
  <c r="Q23" i="19" s="1"/>
  <c r="H7" i="38"/>
  <c r="H6" i="38" s="1"/>
  <c r="BD21" i="11"/>
  <c r="M18" i="35"/>
  <c r="R18" i="35" s="1"/>
  <c r="R21" i="35" s="1"/>
  <c r="Q7" i="21"/>
  <c r="AC7" i="21" s="1"/>
  <c r="N37" i="26"/>
  <c r="I3" i="44"/>
  <c r="J3" i="44"/>
  <c r="AH25" i="11"/>
  <c r="O23" i="11"/>
  <c r="R7" i="35"/>
  <c r="W7" i="35" s="1"/>
  <c r="AB7" i="35" s="1"/>
  <c r="AG7" i="35" s="1"/>
  <c r="AI7" i="35" s="1"/>
  <c r="R10" i="35"/>
  <c r="W10" i="35" s="1"/>
  <c r="Y10" i="35" s="1"/>
  <c r="Q12" i="15"/>
  <c r="T250" i="23"/>
  <c r="F73" i="25" s="1"/>
  <c r="F62" i="30" s="1"/>
  <c r="S7" i="15"/>
  <c r="U7" i="15" s="1"/>
  <c r="Q22" i="19" s="1"/>
  <c r="N10" i="19"/>
  <c r="G23" i="19" s="1"/>
  <c r="P23" i="19" s="1"/>
  <c r="K301" i="23"/>
  <c r="L3" i="44"/>
  <c r="I12" i="4"/>
  <c r="F4" i="4"/>
  <c r="AD21" i="35"/>
  <c r="AD8" i="16"/>
  <c r="AE8" i="16" s="1"/>
  <c r="J24" i="39"/>
  <c r="J26" i="39" s="1"/>
  <c r="I11" i="39"/>
  <c r="K11" i="39" s="1"/>
  <c r="K12" i="39"/>
  <c r="S20" i="33"/>
  <c r="K8" i="33"/>
  <c r="S8" i="33"/>
  <c r="W8" i="33" s="1"/>
  <c r="Q14" i="23"/>
  <c r="M114" i="24"/>
  <c r="J7" i="4"/>
  <c r="F49" i="8"/>
  <c r="F50" i="8"/>
  <c r="H57" i="8" s="1"/>
  <c r="H21" i="34"/>
  <c r="H22" i="34" s="1"/>
  <c r="I12" i="34"/>
  <c r="I21" i="34" s="1"/>
  <c r="AB6" i="35"/>
  <c r="AG6" i="35" s="1"/>
  <c r="AI6" i="35" s="1"/>
  <c r="Y6" i="35"/>
  <c r="AB8" i="35"/>
  <c r="AG8" i="35" s="1"/>
  <c r="AI8" i="35" s="1"/>
  <c r="Y8" i="35"/>
  <c r="M116" i="24"/>
  <c r="Q72" i="23"/>
  <c r="I20" i="4"/>
  <c r="K20" i="4"/>
  <c r="S19" i="35"/>
  <c r="W19" i="35" s="1"/>
  <c r="Y19" i="35" s="1"/>
  <c r="AB19" i="35"/>
  <c r="J11" i="4"/>
  <c r="I21" i="4"/>
  <c r="K21" i="4"/>
  <c r="N42" i="26"/>
  <c r="J43" i="26"/>
  <c r="N43" i="26" s="1"/>
  <c r="J9" i="34"/>
  <c r="J18" i="34" s="1"/>
  <c r="I81" i="30"/>
  <c r="I84" i="30" s="1"/>
  <c r="J75" i="8"/>
  <c r="I75" i="8"/>
  <c r="J19" i="34"/>
  <c r="N10" i="34"/>
  <c r="K10" i="34"/>
  <c r="AB10" i="35"/>
  <c r="AG10" i="35" s="1"/>
  <c r="AI10" i="35" s="1"/>
  <c r="K23" i="4"/>
  <c r="I23" i="4"/>
  <c r="H16" i="33"/>
  <c r="S10" i="33"/>
  <c r="K10" i="33"/>
  <c r="L10" i="4"/>
  <c r="N10" i="4" s="1"/>
  <c r="J10" i="4"/>
  <c r="G4" i="4"/>
  <c r="I9" i="34"/>
  <c r="I18" i="34" s="1"/>
  <c r="BB25" i="11"/>
  <c r="BA20" i="11"/>
  <c r="BA22" i="11"/>
  <c r="O6" i="35"/>
  <c r="W16" i="35"/>
  <c r="AB20" i="35"/>
  <c r="AG20" i="35" s="1"/>
  <c r="AI20" i="35" s="1"/>
  <c r="Z23" i="12"/>
  <c r="K74" i="23"/>
  <c r="J20" i="26"/>
  <c r="I4" i="44"/>
  <c r="I73" i="8"/>
  <c r="J11" i="34"/>
  <c r="J12" i="34" s="1"/>
  <c r="J21" i="34" s="1"/>
  <c r="P256" i="23"/>
  <c r="P241" i="23" s="1"/>
  <c r="K241" i="23"/>
  <c r="J300" i="23"/>
  <c r="J362" i="23" s="1"/>
  <c r="K9" i="39"/>
  <c r="J4" i="44"/>
  <c r="K161" i="44"/>
  <c r="K3" i="44" s="1"/>
  <c r="P1" i="44" s="1"/>
  <c r="I7" i="10"/>
  <c r="I18" i="10" s="1"/>
  <c r="X8" i="16"/>
  <c r="Y8" i="16" s="1"/>
  <c r="E109" i="24"/>
  <c r="E23" i="42"/>
  <c r="AD10" i="16"/>
  <c r="AE10" i="16" s="1"/>
  <c r="Y39" i="12"/>
  <c r="AE18" i="12" s="1"/>
  <c r="X7" i="16"/>
  <c r="Y7" i="16" s="1"/>
  <c r="T6" i="15"/>
  <c r="I7" i="23"/>
  <c r="I349" i="23" s="1"/>
  <c r="K323" i="23"/>
  <c r="J91" i="24"/>
  <c r="O324" i="23" s="1"/>
  <c r="N22" i="26"/>
  <c r="I22" i="4"/>
  <c r="M47" i="42"/>
  <c r="M49" i="42" s="1"/>
  <c r="H57" i="42" s="1"/>
  <c r="I27" i="10"/>
  <c r="O19" i="35"/>
  <c r="S20" i="12"/>
  <c r="R12" i="15"/>
  <c r="T5" i="15"/>
  <c r="T9" i="15"/>
  <c r="J7" i="23"/>
  <c r="J349" i="23" s="1"/>
  <c r="K182" i="23"/>
  <c r="AE16" i="12"/>
  <c r="N19" i="12"/>
  <c r="X11" i="16"/>
  <c r="Y11" i="16" s="1"/>
  <c r="AY21" i="11"/>
  <c r="AG16" i="35"/>
  <c r="F13" i="24"/>
  <c r="J7" i="24"/>
  <c r="M352" i="23" s="1"/>
  <c r="M351" i="23" s="1"/>
  <c r="M350" i="23" s="1"/>
  <c r="K175" i="23"/>
  <c r="H181" i="23"/>
  <c r="H361" i="23" s="1"/>
  <c r="H7" i="23"/>
  <c r="H360" i="23" s="1"/>
  <c r="K125" i="23"/>
  <c r="K10" i="23"/>
  <c r="I16" i="39"/>
  <c r="S206" i="1"/>
  <c r="AC6" i="21"/>
  <c r="J9" i="10"/>
  <c r="I28" i="10"/>
  <c r="I20" i="10"/>
  <c r="M9" i="10"/>
  <c r="M27" i="10"/>
  <c r="M19" i="10"/>
  <c r="H10" i="10"/>
  <c r="J8" i="10"/>
  <c r="I19" i="10"/>
  <c r="H49" i="6"/>
  <c r="O56" i="1" s="1"/>
  <c r="U56" i="1" s="1"/>
  <c r="H57" i="6"/>
  <c r="O65" i="1" s="1"/>
  <c r="U65" i="1" s="1"/>
  <c r="H63" i="6"/>
  <c r="O73" i="1" s="1"/>
  <c r="U73" i="1" s="1"/>
  <c r="H86" i="6"/>
  <c r="O100" i="1" s="1"/>
  <c r="U100" i="1" s="1"/>
  <c r="H94" i="6"/>
  <c r="O108" i="1" s="1"/>
  <c r="U108" i="1" s="1"/>
  <c r="L10" i="6"/>
  <c r="H226" i="6"/>
  <c r="O25" i="3" s="1"/>
  <c r="H290" i="6"/>
  <c r="O97" i="3" s="1"/>
  <c r="H296" i="6"/>
  <c r="O104" i="3" s="1"/>
  <c r="H214" i="6"/>
  <c r="O10" i="3" s="1"/>
  <c r="U10" i="3" s="1"/>
  <c r="H38" i="6"/>
  <c r="O45" i="1" s="1"/>
  <c r="U45" i="1" s="1"/>
  <c r="G21" i="6"/>
  <c r="H21" i="6" s="1"/>
  <c r="H161" i="6"/>
  <c r="O191" i="1" s="1"/>
  <c r="U191" i="1" s="1"/>
  <c r="H165" i="6"/>
  <c r="O195" i="1" s="1"/>
  <c r="H169" i="6"/>
  <c r="O200" i="1" s="1"/>
  <c r="H196" i="6"/>
  <c r="H201" i="6"/>
  <c r="O239" i="1" s="1"/>
  <c r="G13" i="6"/>
  <c r="H13" i="6" s="1"/>
  <c r="O17" i="1" s="1"/>
  <c r="H41" i="6"/>
  <c r="O48" i="1" s="1"/>
  <c r="U48" i="1" s="1"/>
  <c r="H80" i="6"/>
  <c r="O94" i="1" s="1"/>
  <c r="H101" i="6"/>
  <c r="O118" i="1" s="1"/>
  <c r="H24" i="6"/>
  <c r="H17" i="6"/>
  <c r="O21" i="1" s="1"/>
  <c r="H35" i="6"/>
  <c r="O42" i="1" s="1"/>
  <c r="H230" i="6"/>
  <c r="H234" i="6"/>
  <c r="O33" i="3" s="1"/>
  <c r="AA48" i="8"/>
  <c r="N57" i="8"/>
  <c r="N56" i="8" s="1"/>
  <c r="P239" i="1" s="1"/>
  <c r="J58" i="8"/>
  <c r="J59" i="8" s="1"/>
  <c r="H56" i="8"/>
  <c r="H58" i="8"/>
  <c r="H59" i="8" s="1"/>
  <c r="G67" i="8"/>
  <c r="G66" i="8" s="1"/>
  <c r="G69" i="8" s="1"/>
  <c r="G70" i="8" s="1"/>
  <c r="F66" i="8"/>
  <c r="H67" i="8"/>
  <c r="H66" i="8" s="1"/>
  <c r="H69" i="8" s="1"/>
  <c r="H70" i="8" s="1"/>
  <c r="F14" i="8"/>
  <c r="F34" i="8"/>
  <c r="N44" i="8"/>
  <c r="N9" i="12" s="1"/>
  <c r="Z50" i="8"/>
  <c r="AA46" i="8"/>
  <c r="G57" i="8"/>
  <c r="N45" i="8"/>
  <c r="L5" i="13"/>
  <c r="N5" i="12"/>
  <c r="S215" i="1"/>
  <c r="Q141" i="23"/>
  <c r="M118" i="24"/>
  <c r="S19" i="12"/>
  <c r="F218" i="6"/>
  <c r="H218" i="6" s="1"/>
  <c r="O17" i="3" s="1"/>
  <c r="U17" i="3" s="1"/>
  <c r="F271" i="6"/>
  <c r="H271" i="6" s="1"/>
  <c r="H71" i="6"/>
  <c r="O84" i="1" s="1"/>
  <c r="U84" i="1" s="1"/>
  <c r="H12" i="6"/>
  <c r="O16" i="1" s="1"/>
  <c r="H146" i="6"/>
  <c r="O171" i="1" s="1"/>
  <c r="U171" i="1" s="1"/>
  <c r="H236" i="6"/>
  <c r="O35" i="3" s="1"/>
  <c r="H250" i="6"/>
  <c r="O57" i="3" s="1"/>
  <c r="U57" i="3" s="1"/>
  <c r="H254" i="6"/>
  <c r="O61" i="3" s="1"/>
  <c r="U61" i="3" s="1"/>
  <c r="H258" i="6"/>
  <c r="O65" i="3" s="1"/>
  <c r="U65" i="3" s="1"/>
  <c r="H262" i="6"/>
  <c r="O69" i="3" s="1"/>
  <c r="U69" i="3" s="1"/>
  <c r="H272" i="6"/>
  <c r="O79" i="3" s="1"/>
  <c r="U79" i="3" s="1"/>
  <c r="H276" i="6"/>
  <c r="O83" i="3" s="1"/>
  <c r="H281" i="6"/>
  <c r="H285" i="6"/>
  <c r="O92" i="3" s="1"/>
  <c r="M25" i="6"/>
  <c r="G228" i="6" s="1"/>
  <c r="H228" i="6" s="1"/>
  <c r="O27" i="3" s="1"/>
  <c r="H138" i="6"/>
  <c r="O162" i="1" s="1"/>
  <c r="U162" i="1" s="1"/>
  <c r="H212" i="6"/>
  <c r="O8" i="3" s="1"/>
  <c r="U8" i="3" s="1"/>
  <c r="H302" i="6"/>
  <c r="O115" i="3" s="1"/>
  <c r="H144" i="6"/>
  <c r="O169" i="1" s="1"/>
  <c r="U169" i="1" s="1"/>
  <c r="F130" i="6"/>
  <c r="H130" i="6" s="1"/>
  <c r="O154" i="1" s="1"/>
  <c r="U154" i="1" s="1"/>
  <c r="H33" i="6"/>
  <c r="O40" i="1" s="1"/>
  <c r="H147" i="6"/>
  <c r="O172" i="1" s="1"/>
  <c r="H215" i="6"/>
  <c r="O13" i="3" s="1"/>
  <c r="H29" i="6"/>
  <c r="O36" i="1" s="1"/>
  <c r="U36" i="1" s="1"/>
  <c r="H34" i="6"/>
  <c r="O41" i="1" s="1"/>
  <c r="H126" i="6"/>
  <c r="O149" i="1" s="1"/>
  <c r="U149" i="1" s="1"/>
  <c r="H134" i="6"/>
  <c r="O158" i="1" s="1"/>
  <c r="U158" i="1" s="1"/>
  <c r="H154" i="6"/>
  <c r="O178" i="1" s="1"/>
  <c r="H177" i="6"/>
  <c r="O208" i="1" s="1"/>
  <c r="U208" i="1" s="1"/>
  <c r="H192" i="6"/>
  <c r="O229" i="1" s="1"/>
  <c r="H216" i="6"/>
  <c r="O14" i="3" s="1"/>
  <c r="U14" i="3" s="1"/>
  <c r="H220" i="6"/>
  <c r="O19" i="3" s="1"/>
  <c r="U19" i="3" s="1"/>
  <c r="H229" i="6"/>
  <c r="O28" i="3" s="1"/>
  <c r="H294" i="6"/>
  <c r="O102" i="3" s="1"/>
  <c r="O182" i="23"/>
  <c r="H43" i="6"/>
  <c r="O50" i="1" s="1"/>
  <c r="H48" i="6"/>
  <c r="O55" i="1" s="1"/>
  <c r="H52" i="6"/>
  <c r="O59" i="1" s="1"/>
  <c r="H56" i="6"/>
  <c r="O63" i="1" s="1"/>
  <c r="U63" i="1" s="1"/>
  <c r="H60" i="6"/>
  <c r="O70" i="1" s="1"/>
  <c r="U70" i="1" s="1"/>
  <c r="H66" i="6"/>
  <c r="O79" i="1" s="1"/>
  <c r="U79" i="1" s="1"/>
  <c r="H81" i="6"/>
  <c r="O95" i="1" s="1"/>
  <c r="U95" i="1" s="1"/>
  <c r="H89" i="6"/>
  <c r="O103" i="1" s="1"/>
  <c r="U103" i="1" s="1"/>
  <c r="H97" i="6"/>
  <c r="O111" i="1" s="1"/>
  <c r="H102" i="6"/>
  <c r="O119" i="1" s="1"/>
  <c r="U119" i="1" s="1"/>
  <c r="H110" i="6"/>
  <c r="O127" i="1" s="1"/>
  <c r="U127" i="1" s="1"/>
  <c r="H114" i="6"/>
  <c r="O132" i="1" s="1"/>
  <c r="U132" i="1" s="1"/>
  <c r="H162" i="6"/>
  <c r="O192" i="1" s="1"/>
  <c r="U192" i="1" s="1"/>
  <c r="H197" i="6"/>
  <c r="H255" i="6"/>
  <c r="O62" i="3" s="1"/>
  <c r="U62" i="3" s="1"/>
  <c r="H263" i="6"/>
  <c r="O70" i="3" s="1"/>
  <c r="U70" i="3" s="1"/>
  <c r="H301" i="6"/>
  <c r="O114" i="3" s="1"/>
  <c r="H30" i="6"/>
  <c r="O37" i="1" s="1"/>
  <c r="U37" i="1" s="1"/>
  <c r="H72" i="6"/>
  <c r="O85" i="1" s="1"/>
  <c r="U85" i="1" s="1"/>
  <c r="H82" i="6"/>
  <c r="O96" i="1" s="1"/>
  <c r="U96" i="1" s="1"/>
  <c r="H107" i="6"/>
  <c r="O124" i="1" s="1"/>
  <c r="U124" i="1" s="1"/>
  <c r="H115" i="6"/>
  <c r="O133" i="1" s="1"/>
  <c r="U133" i="1" s="1"/>
  <c r="H131" i="6"/>
  <c r="O155" i="1" s="1"/>
  <c r="U155" i="1" s="1"/>
  <c r="H135" i="6"/>
  <c r="O159" i="1" s="1"/>
  <c r="U159" i="1" s="1"/>
  <c r="H181" i="6"/>
  <c r="O212" i="1" s="1"/>
  <c r="O211" i="1" s="1"/>
  <c r="H264" i="6"/>
  <c r="O71" i="3" s="1"/>
  <c r="H83" i="6"/>
  <c r="O97" i="1" s="1"/>
  <c r="U97" i="1" s="1"/>
  <c r="H87" i="6"/>
  <c r="O101" i="1" s="1"/>
  <c r="U101" i="1" s="1"/>
  <c r="H108" i="6"/>
  <c r="O125" i="1" s="1"/>
  <c r="U125" i="1" s="1"/>
  <c r="H116" i="6"/>
  <c r="O134" i="1" s="1"/>
  <c r="U134" i="1" s="1"/>
  <c r="H195" i="6"/>
  <c r="O232" i="1" s="1"/>
  <c r="H249" i="6"/>
  <c r="O54" i="3" s="1"/>
  <c r="U54" i="3" s="1"/>
  <c r="H261" i="6"/>
  <c r="O68" i="3" s="1"/>
  <c r="U68" i="3" s="1"/>
  <c r="H28" i="6"/>
  <c r="O35" i="1" s="1"/>
  <c r="U35" i="1" s="1"/>
  <c r="H36" i="6"/>
  <c r="O43" i="1" s="1"/>
  <c r="U43" i="1" s="1"/>
  <c r="H44" i="6"/>
  <c r="O51" i="1" s="1"/>
  <c r="U51" i="1" s="1"/>
  <c r="H53" i="6"/>
  <c r="O60" i="1" s="1"/>
  <c r="U60" i="1" s="1"/>
  <c r="H77" i="6"/>
  <c r="O91" i="1" s="1"/>
  <c r="U91" i="1" s="1"/>
  <c r="H127" i="6"/>
  <c r="O150" i="1" s="1"/>
  <c r="U150" i="1" s="1"/>
  <c r="H191" i="6"/>
  <c r="O228" i="1" s="1"/>
  <c r="H198" i="6"/>
  <c r="H242" i="6"/>
  <c r="O42" i="3" s="1"/>
  <c r="H246" i="6"/>
  <c r="O46" i="3" s="1"/>
  <c r="H273" i="6"/>
  <c r="O80" i="3" s="1"/>
  <c r="U80" i="3" s="1"/>
  <c r="H282" i="6"/>
  <c r="O89" i="3" s="1"/>
  <c r="U89" i="3" s="1"/>
  <c r="H15" i="6"/>
  <c r="O19" i="1" s="1"/>
  <c r="U19" i="1" s="1"/>
  <c r="H45" i="6"/>
  <c r="O52" i="1" s="1"/>
  <c r="H58" i="6"/>
  <c r="O66" i="1" s="1"/>
  <c r="U66" i="1" s="1"/>
  <c r="H85" i="6"/>
  <c r="O99" i="1" s="1"/>
  <c r="H105" i="6"/>
  <c r="O122" i="1" s="1"/>
  <c r="U122" i="1" s="1"/>
  <c r="H123" i="6"/>
  <c r="O146" i="1" s="1"/>
  <c r="U146" i="1" s="1"/>
  <c r="H132" i="6"/>
  <c r="O156" i="1" s="1"/>
  <c r="U156" i="1" s="1"/>
  <c r="H187" i="6"/>
  <c r="O224" i="1" s="1"/>
  <c r="H239" i="6"/>
  <c r="O38" i="3" s="1"/>
  <c r="U38" i="3" s="1"/>
  <c r="H247" i="6"/>
  <c r="H278" i="6"/>
  <c r="O85" i="3" s="1"/>
  <c r="U85" i="3" s="1"/>
  <c r="H299" i="6"/>
  <c r="O109" i="3" s="1"/>
  <c r="U109" i="3" s="1"/>
  <c r="H305" i="6"/>
  <c r="O118" i="3" s="1"/>
  <c r="H9" i="6"/>
  <c r="O13" i="1" s="1"/>
  <c r="U13" i="1" s="1"/>
  <c r="H55" i="6"/>
  <c r="G70" i="24" s="1"/>
  <c r="M70" i="24" s="1"/>
  <c r="O129" i="23" s="1"/>
  <c r="R129" i="23" s="1"/>
  <c r="T129" i="23" s="1"/>
  <c r="H65" i="6"/>
  <c r="O78" i="1" s="1"/>
  <c r="U78" i="1" s="1"/>
  <c r="H93" i="6"/>
  <c r="O107" i="1" s="1"/>
  <c r="U107" i="1" s="1"/>
  <c r="H106" i="6"/>
  <c r="O123" i="1" s="1"/>
  <c r="H113" i="6"/>
  <c r="O131" i="1" s="1"/>
  <c r="H129" i="6"/>
  <c r="O153" i="1" s="1"/>
  <c r="U153" i="1" s="1"/>
  <c r="H142" i="6"/>
  <c r="O167" i="1" s="1"/>
  <c r="U167" i="1" s="1"/>
  <c r="H166" i="6"/>
  <c r="O196" i="1" s="1"/>
  <c r="U196" i="1" s="1"/>
  <c r="H171" i="6"/>
  <c r="O202" i="1" s="1"/>
  <c r="O201" i="1" s="1"/>
  <c r="H188" i="6"/>
  <c r="O225" i="1" s="1"/>
  <c r="H219" i="6"/>
  <c r="O18" i="3" s="1"/>
  <c r="U18" i="3" s="1"/>
  <c r="H244" i="6"/>
  <c r="O44" i="3" s="1"/>
  <c r="U44" i="3" s="1"/>
  <c r="H284" i="6"/>
  <c r="O91" i="3" s="1"/>
  <c r="H308" i="6"/>
  <c r="O122" i="3" s="1"/>
  <c r="F124" i="6"/>
  <c r="H124" i="6" s="1"/>
  <c r="O147" i="1" s="1"/>
  <c r="U147" i="1" s="1"/>
  <c r="H16" i="6"/>
  <c r="O20" i="1" s="1"/>
  <c r="U20" i="1" s="1"/>
  <c r="H90" i="6"/>
  <c r="O104" i="1" s="1"/>
  <c r="U104" i="1" s="1"/>
  <c r="H99" i="6"/>
  <c r="O116" i="1" s="1"/>
  <c r="U116" i="1" s="1"/>
  <c r="H160" i="6"/>
  <c r="O190" i="1" s="1"/>
  <c r="U190" i="1" s="1"/>
  <c r="H163" i="6"/>
  <c r="O193" i="1" s="1"/>
  <c r="H167" i="6"/>
  <c r="O197" i="1" s="1"/>
  <c r="H223" i="6"/>
  <c r="O22" i="3" s="1"/>
  <c r="H259" i="6"/>
  <c r="O66" i="3" s="1"/>
  <c r="U66" i="3" s="1"/>
  <c r="H266" i="6"/>
  <c r="O73" i="3" s="1"/>
  <c r="U73" i="3" s="1"/>
  <c r="H95" i="6"/>
  <c r="O109" i="1" s="1"/>
  <c r="U109" i="1" s="1"/>
  <c r="H103" i="6"/>
  <c r="O120" i="1" s="1"/>
  <c r="H119" i="6"/>
  <c r="O141" i="1" s="1"/>
  <c r="U141" i="1" s="1"/>
  <c r="H152" i="6"/>
  <c r="O177" i="1" s="1"/>
  <c r="U177" i="1" s="1"/>
  <c r="H157" i="6"/>
  <c r="O185" i="1" s="1"/>
  <c r="U185" i="1" s="1"/>
  <c r="H202" i="6"/>
  <c r="G75" i="24" s="1"/>
  <c r="M75" i="24" s="1"/>
  <c r="H224" i="6"/>
  <c r="O23" i="3" s="1"/>
  <c r="U23" i="3" s="1"/>
  <c r="H232" i="6"/>
  <c r="O31" i="3" s="1"/>
  <c r="U31" i="3" s="1"/>
  <c r="H289" i="6"/>
  <c r="O96" i="3" s="1"/>
  <c r="U96" i="3" s="1"/>
  <c r="H298" i="6"/>
  <c r="O108" i="3" s="1"/>
  <c r="U108" i="3" s="1"/>
  <c r="G72" i="24"/>
  <c r="M72" i="24" s="1"/>
  <c r="O148" i="23" s="1"/>
  <c r="R148" i="23" s="1"/>
  <c r="T148" i="23" s="1"/>
  <c r="E80" i="24"/>
  <c r="O88" i="3"/>
  <c r="U88" i="3" s="1"/>
  <c r="H22" i="6"/>
  <c r="O26" i="1" s="1"/>
  <c r="U26" i="1" s="1"/>
  <c r="H37" i="6"/>
  <c r="O44" i="1" s="1"/>
  <c r="U44" i="1" s="1"/>
  <c r="H69" i="6"/>
  <c r="O82" i="1" s="1"/>
  <c r="U82" i="1" s="1"/>
  <c r="H88" i="6"/>
  <c r="O102" i="1" s="1"/>
  <c r="U102" i="1" s="1"/>
  <c r="H91" i="6"/>
  <c r="O105" i="1" s="1"/>
  <c r="U105" i="1" s="1"/>
  <c r="H109" i="6"/>
  <c r="O126" i="1" s="1"/>
  <c r="U126" i="1" s="1"/>
  <c r="H137" i="6"/>
  <c r="O161" i="1" s="1"/>
  <c r="U161" i="1" s="1"/>
  <c r="H150" i="6"/>
  <c r="H168" i="6"/>
  <c r="O199" i="1" s="1"/>
  <c r="H173" i="6"/>
  <c r="H200" i="6"/>
  <c r="O238" i="1" s="1"/>
  <c r="H217" i="6"/>
  <c r="O16" i="3" s="1"/>
  <c r="U16" i="3" s="1"/>
  <c r="H235" i="6"/>
  <c r="O34" i="3" s="1"/>
  <c r="U34" i="3" s="1"/>
  <c r="H240" i="6"/>
  <c r="O39" i="3" s="1"/>
  <c r="U39" i="3" s="1"/>
  <c r="H257" i="6"/>
  <c r="O64" i="3" s="1"/>
  <c r="U64" i="3" s="1"/>
  <c r="H267" i="6"/>
  <c r="O74" i="3" s="1"/>
  <c r="U74" i="3" s="1"/>
  <c r="H287" i="6"/>
  <c r="O94" i="3" s="1"/>
  <c r="U94" i="3" s="1"/>
  <c r="H11" i="6"/>
  <c r="O15" i="1" s="1"/>
  <c r="U15" i="1" s="1"/>
  <c r="H20" i="6"/>
  <c r="O24" i="1" s="1"/>
  <c r="U24" i="1" s="1"/>
  <c r="H26" i="6"/>
  <c r="O32" i="1" s="1"/>
  <c r="U32" i="1" s="1"/>
  <c r="H50" i="6"/>
  <c r="O57" i="1" s="1"/>
  <c r="U57" i="1" s="1"/>
  <c r="H70" i="6"/>
  <c r="O83" i="1" s="1"/>
  <c r="H74" i="6"/>
  <c r="O87" i="1" s="1"/>
  <c r="U87" i="1" s="1"/>
  <c r="H78" i="6"/>
  <c r="O92" i="1" s="1"/>
  <c r="U92" i="1" s="1"/>
  <c r="H92" i="6"/>
  <c r="O106" i="1" s="1"/>
  <c r="U106" i="1" s="1"/>
  <c r="H151" i="6"/>
  <c r="O176" i="1" s="1"/>
  <c r="U176" i="1" s="1"/>
  <c r="H155" i="6"/>
  <c r="O179" i="1" s="1"/>
  <c r="U179" i="1" s="1"/>
  <c r="H158" i="6"/>
  <c r="O188" i="1" s="1"/>
  <c r="H176" i="6"/>
  <c r="O207" i="1" s="1"/>
  <c r="U207" i="1" s="1"/>
  <c r="H193" i="6"/>
  <c r="G312" i="6"/>
  <c r="H221" i="6"/>
  <c r="O20" i="3" s="1"/>
  <c r="H241" i="6"/>
  <c r="O41" i="3" s="1"/>
  <c r="U41" i="3" s="1"/>
  <c r="H251" i="6"/>
  <c r="O58" i="3" s="1"/>
  <c r="U58" i="3" s="1"/>
  <c r="H270" i="6"/>
  <c r="O77" i="3" s="1"/>
  <c r="U77" i="3" s="1"/>
  <c r="H288" i="6"/>
  <c r="O95" i="3" s="1"/>
  <c r="U95" i="3" s="1"/>
  <c r="H292" i="6"/>
  <c r="O99" i="3" s="1"/>
  <c r="U99" i="3" s="1"/>
  <c r="O301" i="23"/>
  <c r="H8" i="6"/>
  <c r="O12" i="1" s="1"/>
  <c r="H14" i="6"/>
  <c r="O18" i="1" s="1"/>
  <c r="U18" i="1" s="1"/>
  <c r="H23" i="6"/>
  <c r="O28" i="1" s="1"/>
  <c r="U28" i="1" s="1"/>
  <c r="H46" i="6"/>
  <c r="O53" i="1" s="1"/>
  <c r="U53" i="1" s="1"/>
  <c r="H79" i="6"/>
  <c r="O93" i="1" s="1"/>
  <c r="U93" i="1" s="1"/>
  <c r="H96" i="6"/>
  <c r="O110" i="1" s="1"/>
  <c r="U110" i="1" s="1"/>
  <c r="H100" i="6"/>
  <c r="O117" i="1" s="1"/>
  <c r="U117" i="1" s="1"/>
  <c r="H117" i="6"/>
  <c r="O135" i="1" s="1"/>
  <c r="U135" i="1" s="1"/>
  <c r="H159" i="6"/>
  <c r="O189" i="1" s="1"/>
  <c r="U189" i="1" s="1"/>
  <c r="H185" i="6"/>
  <c r="O222" i="1" s="1"/>
  <c r="O221" i="1" s="1"/>
  <c r="H189" i="6"/>
  <c r="O226" i="1" s="1"/>
  <c r="H211" i="6"/>
  <c r="O7" i="3" s="1"/>
  <c r="H225" i="6"/>
  <c r="O24" i="3" s="1"/>
  <c r="U24" i="3" s="1"/>
  <c r="H245" i="6"/>
  <c r="O45" i="3" s="1"/>
  <c r="U45" i="3" s="1"/>
  <c r="H248" i="6"/>
  <c r="O53" i="3" s="1"/>
  <c r="H265" i="6"/>
  <c r="O72" i="3" s="1"/>
  <c r="U72" i="3" s="1"/>
  <c r="H277" i="6"/>
  <c r="O84" i="3" s="1"/>
  <c r="U84" i="3" s="1"/>
  <c r="H297" i="6"/>
  <c r="O105" i="3" s="1"/>
  <c r="H31" i="6"/>
  <c r="O38" i="1" s="1"/>
  <c r="H51" i="6"/>
  <c r="O58" i="1" s="1"/>
  <c r="U58" i="1" s="1"/>
  <c r="H54" i="6"/>
  <c r="O61" i="1" s="1"/>
  <c r="U61" i="1" s="1"/>
  <c r="H75" i="6"/>
  <c r="O89" i="1" s="1"/>
  <c r="H104" i="6"/>
  <c r="O121" i="1" s="1"/>
  <c r="U121" i="1" s="1"/>
  <c r="H125" i="6"/>
  <c r="O148" i="1" s="1"/>
  <c r="U148" i="1" s="1"/>
  <c r="H128" i="6"/>
  <c r="O151" i="1" s="1"/>
  <c r="U151" i="1" s="1"/>
  <c r="H156" i="6"/>
  <c r="O184" i="1" s="1"/>
  <c r="U184" i="1" s="1"/>
  <c r="H194" i="6"/>
  <c r="O231" i="1" s="1"/>
  <c r="H222" i="6"/>
  <c r="O21" i="3" s="1"/>
  <c r="U21" i="3" s="1"/>
  <c r="H233" i="6"/>
  <c r="O32" i="3" s="1"/>
  <c r="U32" i="3" s="1"/>
  <c r="H252" i="6"/>
  <c r="O59" i="3" s="1"/>
  <c r="U59" i="3" s="1"/>
  <c r="H274" i="6"/>
  <c r="O81" i="3" s="1"/>
  <c r="U81" i="3" s="1"/>
  <c r="H293" i="6"/>
  <c r="O100" i="3" s="1"/>
  <c r="U100" i="3" s="1"/>
  <c r="H39" i="6"/>
  <c r="O46" i="1" s="1"/>
  <c r="U46" i="1" s="1"/>
  <c r="H111" i="6"/>
  <c r="O128" i="1" s="1"/>
  <c r="U128" i="1" s="1"/>
  <c r="H139" i="6"/>
  <c r="O163" i="1" s="1"/>
  <c r="U163" i="1" s="1"/>
  <c r="H253" i="6"/>
  <c r="O60" i="3" s="1"/>
  <c r="U60" i="3" s="1"/>
  <c r="H256" i="6"/>
  <c r="O63" i="3" s="1"/>
  <c r="U63" i="3" s="1"/>
  <c r="H275" i="6"/>
  <c r="O82" i="3" s="1"/>
  <c r="U82" i="3" s="1"/>
  <c r="H286" i="6"/>
  <c r="O93" i="3" s="1"/>
  <c r="U93" i="3" s="1"/>
  <c r="H18" i="6"/>
  <c r="O22" i="1" s="1"/>
  <c r="U22" i="1" s="1"/>
  <c r="H40" i="6"/>
  <c r="O47" i="1" s="1"/>
  <c r="U47" i="1" s="1"/>
  <c r="H59" i="6"/>
  <c r="O69" i="1" s="1"/>
  <c r="H64" i="6"/>
  <c r="O74" i="1" s="1"/>
  <c r="U74" i="1" s="1"/>
  <c r="H67" i="6"/>
  <c r="O80" i="1" s="1"/>
  <c r="U80" i="1" s="1"/>
  <c r="H84" i="6"/>
  <c r="O98" i="1" s="1"/>
  <c r="H112" i="6"/>
  <c r="O130" i="1" s="1"/>
  <c r="H133" i="6"/>
  <c r="O157" i="1" s="1"/>
  <c r="U157" i="1" s="1"/>
  <c r="H140" i="6"/>
  <c r="O165" i="1" s="1"/>
  <c r="U165" i="1" s="1"/>
  <c r="H145" i="6"/>
  <c r="O170" i="1" s="1"/>
  <c r="U170" i="1" s="1"/>
  <c r="H149" i="6"/>
  <c r="O174" i="1" s="1"/>
  <c r="U174" i="1" s="1"/>
  <c r="H164" i="6"/>
  <c r="O194" i="1" s="1"/>
  <c r="U194" i="1" s="1"/>
  <c r="H179" i="6"/>
  <c r="O210" i="1" s="1"/>
  <c r="O209" i="1" s="1"/>
  <c r="H204" i="6"/>
  <c r="O242" i="1" s="1"/>
  <c r="O241" i="1" s="1"/>
  <c r="H213" i="6"/>
  <c r="O9" i="3" s="1"/>
  <c r="H231" i="6"/>
  <c r="O30" i="3" s="1"/>
  <c r="U30" i="3" s="1"/>
  <c r="H243" i="6"/>
  <c r="O43" i="3" s="1"/>
  <c r="U43" i="3" s="1"/>
  <c r="H260" i="6"/>
  <c r="O67" i="3" s="1"/>
  <c r="H280" i="6"/>
  <c r="O87" i="3" s="1"/>
  <c r="U87" i="3" s="1"/>
  <c r="H283" i="6"/>
  <c r="H303" i="6"/>
  <c r="O116" i="3" s="1"/>
  <c r="U116" i="3" s="1"/>
  <c r="O8" i="11"/>
  <c r="CC12" i="11"/>
  <c r="AF25" i="11"/>
  <c r="BC20" i="11"/>
  <c r="BC25" i="11" s="1"/>
  <c r="BA21" i="11"/>
  <c r="O12" i="15"/>
  <c r="BV11" i="11"/>
  <c r="CJ11" i="11" s="1"/>
  <c r="CK12" i="11"/>
  <c r="CQ12" i="11" s="1"/>
  <c r="AN19" i="11"/>
  <c r="AC25" i="11"/>
  <c r="BD22" i="11"/>
  <c r="BY40" i="11"/>
  <c r="BY42" i="11" s="1"/>
  <c r="BY43" i="11" s="1"/>
  <c r="S10" i="11"/>
  <c r="X10" i="11" s="1"/>
  <c r="AD10" i="11" s="1"/>
  <c r="AI10" i="11" s="1"/>
  <c r="AK10" i="11" s="1"/>
  <c r="CI11" i="11"/>
  <c r="CP11" i="11" s="1"/>
  <c r="CQ11" i="11" s="1"/>
  <c r="S25" i="11"/>
  <c r="AD11" i="11"/>
  <c r="AI11" i="11" s="1"/>
  <c r="AK11" i="11" s="1"/>
  <c r="Z11" i="11"/>
  <c r="AD8" i="11"/>
  <c r="AI8" i="11" s="1"/>
  <c r="Z8" i="11"/>
  <c r="AD7" i="11"/>
  <c r="AI7" i="11" s="1"/>
  <c r="AK7" i="11" s="1"/>
  <c r="Z7" i="11"/>
  <c r="BV8" i="11"/>
  <c r="AT20" i="11"/>
  <c r="AZ8" i="11"/>
  <c r="BE8" i="11" s="1"/>
  <c r="AV8" i="11"/>
  <c r="AZ10" i="11"/>
  <c r="BE10" i="11" s="1"/>
  <c r="BG10" i="11" s="1"/>
  <c r="AV10" i="11"/>
  <c r="BV10" i="11"/>
  <c r="CB23" i="11"/>
  <c r="CC11" i="11"/>
  <c r="AD21" i="11"/>
  <c r="X21" i="11"/>
  <c r="Z21" i="11" s="1"/>
  <c r="X22" i="11"/>
  <c r="Z22" i="11" s="1"/>
  <c r="AD22" i="11"/>
  <c r="AD23" i="11"/>
  <c r="T23" i="11"/>
  <c r="X23" i="11" s="1"/>
  <c r="Z23" i="11" s="1"/>
  <c r="Z9" i="11"/>
  <c r="AD9" i="11"/>
  <c r="AI9" i="11" s="1"/>
  <c r="AK9" i="11" s="1"/>
  <c r="AO7" i="11"/>
  <c r="AS20" i="11"/>
  <c r="AQ21" i="11"/>
  <c r="BY21" i="11" s="1"/>
  <c r="AN22" i="11"/>
  <c r="AS23" i="11"/>
  <c r="CA23" i="11" s="1"/>
  <c r="AG25" i="11"/>
  <c r="O7" i="11"/>
  <c r="O10" i="11"/>
  <c r="AR19" i="11"/>
  <c r="X20" i="11"/>
  <c r="Z20" i="11" s="1"/>
  <c r="BD20" i="11"/>
  <c r="O21" i="11"/>
  <c r="AR21" i="11"/>
  <c r="BZ21" i="11" s="1"/>
  <c r="P12" i="15"/>
  <c r="AO9" i="11"/>
  <c r="AT9" i="11" s="1"/>
  <c r="AN20" i="11"/>
  <c r="AQ22" i="11"/>
  <c r="BY22" i="11" s="1"/>
  <c r="AN23" i="11"/>
  <c r="O9" i="11"/>
  <c r="CD12" i="11"/>
  <c r="CD24" i="11" s="1"/>
  <c r="AK19" i="11"/>
  <c r="AX19" i="11"/>
  <c r="AY20" i="11"/>
  <c r="AY25" i="11" s="1"/>
  <c r="O22" i="11"/>
  <c r="AR22" i="11"/>
  <c r="BZ22" i="11" s="1"/>
  <c r="M25" i="11"/>
  <c r="X19" i="11"/>
  <c r="AO11" i="11"/>
  <c r="AT11" i="11" s="1"/>
  <c r="AQ20" i="11"/>
  <c r="BY20" i="11" s="1"/>
  <c r="AQ23" i="11"/>
  <c r="BY23" i="11" s="1"/>
  <c r="AP19" i="11"/>
  <c r="AR23" i="11"/>
  <c r="BZ23" i="11" s="1"/>
  <c r="Q206" i="1"/>
  <c r="G74" i="24"/>
  <c r="M74" i="24" s="1"/>
  <c r="O145" i="23" s="1"/>
  <c r="O175" i="1"/>
  <c r="U175" i="1" s="1"/>
  <c r="G66" i="24"/>
  <c r="M66" i="24" s="1"/>
  <c r="G71" i="24"/>
  <c r="M71" i="24" s="1"/>
  <c r="O144" i="23" s="1"/>
  <c r="R144" i="23" s="1"/>
  <c r="T144" i="23" s="1"/>
  <c r="G25" i="6"/>
  <c r="H25" i="6" s="1"/>
  <c r="L20" i="6"/>
  <c r="F136" i="6" s="1"/>
  <c r="H136" i="6" s="1"/>
  <c r="O30" i="1"/>
  <c r="U30" i="1" s="1"/>
  <c r="G68" i="24"/>
  <c r="M68" i="24" s="1"/>
  <c r="O62" i="1"/>
  <c r="U62" i="1" s="1"/>
  <c r="Q136" i="1"/>
  <c r="U136" i="1" s="1"/>
  <c r="M15" i="6"/>
  <c r="N8" i="12"/>
  <c r="S8" i="12" s="1"/>
  <c r="AC50" i="8"/>
  <c r="AA44" i="8"/>
  <c r="N11" i="12"/>
  <c r="S11" i="12" s="1"/>
  <c r="AA45" i="8"/>
  <c r="AA47" i="8"/>
  <c r="AA49" i="8"/>
  <c r="AA43" i="8"/>
  <c r="P86" i="1"/>
  <c r="P81" i="1"/>
  <c r="Q86" i="1"/>
  <c r="P140" i="1"/>
  <c r="Q223" i="1"/>
  <c r="Q9" i="1"/>
  <c r="N34" i="1"/>
  <c r="Q140" i="1"/>
  <c r="N223" i="1"/>
  <c r="M49" i="1"/>
  <c r="S227" i="1"/>
  <c r="P34" i="1"/>
  <c r="N49" i="1"/>
  <c r="M140" i="1"/>
  <c r="P206" i="1"/>
  <c r="P205" i="1" s="1"/>
  <c r="P115" i="1"/>
  <c r="N140" i="1"/>
  <c r="R345" i="23"/>
  <c r="R344" i="23" s="1"/>
  <c r="R343" i="23" s="1"/>
  <c r="P323" i="23"/>
  <c r="P182" i="23"/>
  <c r="U46" i="3"/>
  <c r="Q74" i="23"/>
  <c r="P125" i="23"/>
  <c r="R327" i="23"/>
  <c r="T327" i="23" s="1"/>
  <c r="K282" i="31" s="1"/>
  <c r="R331" i="23"/>
  <c r="T331" i="23" s="1"/>
  <c r="R335" i="23"/>
  <c r="T335" i="23" s="1"/>
  <c r="K289" i="31" s="1"/>
  <c r="P10" i="23"/>
  <c r="U15" i="3"/>
  <c r="K112" i="3"/>
  <c r="P175" i="23"/>
  <c r="Q175" i="23"/>
  <c r="R358" i="23"/>
  <c r="T358" i="23" s="1"/>
  <c r="K312" i="31" s="1"/>
  <c r="Q182" i="23"/>
  <c r="Q323" i="23"/>
  <c r="R212" i="23"/>
  <c r="T212" i="23" s="1"/>
  <c r="Q241" i="23"/>
  <c r="Q301" i="23"/>
  <c r="I365" i="23"/>
  <c r="I371" i="23"/>
  <c r="I373" i="23"/>
  <c r="I382" i="23" s="1"/>
  <c r="I375" i="23"/>
  <c r="R40" i="23"/>
  <c r="T40" i="23" s="1"/>
  <c r="K40" i="31" s="1"/>
  <c r="R48" i="23"/>
  <c r="T48" i="23" s="1"/>
  <c r="F18" i="25" s="1"/>
  <c r="F17" i="30" s="1"/>
  <c r="R214" i="23"/>
  <c r="T214" i="23" s="1"/>
  <c r="R218" i="23"/>
  <c r="T218" i="23" s="1"/>
  <c r="K187" i="31" s="1"/>
  <c r="R222" i="23"/>
  <c r="T222" i="23" s="1"/>
  <c r="K191" i="31" s="1"/>
  <c r="R238" i="23"/>
  <c r="T238" i="23" s="1"/>
  <c r="R253" i="23"/>
  <c r="T253" i="23" s="1"/>
  <c r="K215" i="31" s="1"/>
  <c r="R257" i="23"/>
  <c r="T257" i="23" s="1"/>
  <c r="K220" i="31" s="1"/>
  <c r="R269" i="23"/>
  <c r="T269" i="23" s="1"/>
  <c r="K232" i="31" s="1"/>
  <c r="R285" i="23"/>
  <c r="T285" i="23" s="1"/>
  <c r="K246" i="31" s="1"/>
  <c r="R289" i="23"/>
  <c r="T289" i="23" s="1"/>
  <c r="K249" i="31" s="1"/>
  <c r="R306" i="23"/>
  <c r="T306" i="23" s="1"/>
  <c r="K262" i="31" s="1"/>
  <c r="R310" i="23"/>
  <c r="T310" i="23" s="1"/>
  <c r="K266" i="31" s="1"/>
  <c r="R314" i="23"/>
  <c r="T314" i="23" s="1"/>
  <c r="K270" i="31" s="1"/>
  <c r="R318" i="23"/>
  <c r="T318" i="23" s="1"/>
  <c r="K274" i="31" s="1"/>
  <c r="R322" i="23"/>
  <c r="T322" i="23" s="1"/>
  <c r="K277" i="31" s="1"/>
  <c r="U40" i="3"/>
  <c r="R15" i="23"/>
  <c r="T15" i="23" s="1"/>
  <c r="K13" i="31" s="1"/>
  <c r="R75" i="23"/>
  <c r="T75" i="23" s="1"/>
  <c r="K63" i="31" s="1"/>
  <c r="L63" i="31" s="1"/>
  <c r="R87" i="23"/>
  <c r="T87" i="23" s="1"/>
  <c r="K79" i="31" s="1"/>
  <c r="R91" i="23"/>
  <c r="T91" i="23" s="1"/>
  <c r="K83" i="31" s="1"/>
  <c r="R103" i="23"/>
  <c r="T103" i="23" s="1"/>
  <c r="K95" i="31" s="1"/>
  <c r="R123" i="23"/>
  <c r="T123" i="23" s="1"/>
  <c r="R245" i="23"/>
  <c r="T245" i="23" s="1"/>
  <c r="K208" i="31" s="1"/>
  <c r="R217" i="23"/>
  <c r="T217" i="23" s="1"/>
  <c r="K186" i="31" s="1"/>
  <c r="R221" i="23"/>
  <c r="T221" i="23" s="1"/>
  <c r="F67" i="25" s="1"/>
  <c r="R225" i="23"/>
  <c r="T225" i="23" s="1"/>
  <c r="U20" i="3"/>
  <c r="R101" i="23"/>
  <c r="T101" i="23" s="1"/>
  <c r="K93" i="31" s="1"/>
  <c r="U49" i="3"/>
  <c r="T206" i="1"/>
  <c r="U47" i="3"/>
  <c r="S90" i="1"/>
  <c r="P90" i="1"/>
  <c r="S223" i="1"/>
  <c r="M72" i="1"/>
  <c r="S72" i="1"/>
  <c r="Q215" i="1"/>
  <c r="Q39" i="1"/>
  <c r="N14" i="1"/>
  <c r="P54" i="1"/>
  <c r="N72" i="1"/>
  <c r="S145" i="1"/>
  <c r="N9" i="1"/>
  <c r="P14" i="1"/>
  <c r="M34" i="1"/>
  <c r="Q14" i="1"/>
  <c r="M39" i="1"/>
  <c r="M86" i="1"/>
  <c r="N115" i="1"/>
  <c r="S140" i="1"/>
  <c r="P166" i="1"/>
  <c r="M206" i="1"/>
  <c r="U48" i="3"/>
  <c r="R14" i="23"/>
  <c r="T14" i="23" s="1"/>
  <c r="K12" i="31" s="1"/>
  <c r="R42" i="23"/>
  <c r="T42" i="23" s="1"/>
  <c r="K42" i="31" s="1"/>
  <c r="R50" i="23"/>
  <c r="T50" i="23" s="1"/>
  <c r="F19" i="25" s="1"/>
  <c r="F18" i="30" s="1"/>
  <c r="R54" i="23"/>
  <c r="T54" i="23" s="1"/>
  <c r="K51" i="31" s="1"/>
  <c r="R228" i="23"/>
  <c r="T228" i="23" s="1"/>
  <c r="K196" i="31" s="1"/>
  <c r="P9" i="1"/>
  <c r="P49" i="1"/>
  <c r="S54" i="1"/>
  <c r="Q54" i="1"/>
  <c r="N81" i="1"/>
  <c r="M81" i="1"/>
  <c r="N86" i="1"/>
  <c r="N90" i="1"/>
  <c r="P145" i="1"/>
  <c r="N145" i="1"/>
  <c r="Q166" i="1"/>
  <c r="N206" i="1"/>
  <c r="N205" i="1" s="1"/>
  <c r="P223" i="1"/>
  <c r="R97" i="23"/>
  <c r="T97" i="23" s="1"/>
  <c r="K89" i="31" s="1"/>
  <c r="R243" i="23"/>
  <c r="T243" i="23" s="1"/>
  <c r="F77" i="25" s="1"/>
  <c r="F66" i="30" s="1"/>
  <c r="T145" i="1"/>
  <c r="U217" i="1"/>
  <c r="U51" i="3"/>
  <c r="U119" i="3"/>
  <c r="R108" i="23"/>
  <c r="T108" i="23" s="1"/>
  <c r="K100" i="31" s="1"/>
  <c r="R116" i="23"/>
  <c r="T116" i="23" s="1"/>
  <c r="R120" i="23"/>
  <c r="T120" i="23" s="1"/>
  <c r="R124" i="23"/>
  <c r="T124" i="23" s="1"/>
  <c r="F42" i="25" s="1"/>
  <c r="F38" i="30" s="1"/>
  <c r="R234" i="23"/>
  <c r="T234" i="23" s="1"/>
  <c r="K201" i="31" s="1"/>
  <c r="J144" i="1"/>
  <c r="R260" i="23"/>
  <c r="T260" i="23" s="1"/>
  <c r="K223" i="31" s="1"/>
  <c r="R268" i="23"/>
  <c r="T268" i="23" s="1"/>
  <c r="K231" i="31" s="1"/>
  <c r="J205" i="1"/>
  <c r="U97" i="3"/>
  <c r="R232" i="23"/>
  <c r="T232" i="23" s="1"/>
  <c r="K199" i="31" s="1"/>
  <c r="R236" i="23"/>
  <c r="T236" i="23" s="1"/>
  <c r="R259" i="23"/>
  <c r="T259" i="23" s="1"/>
  <c r="K222" i="31" s="1"/>
  <c r="R267" i="23"/>
  <c r="T267" i="23" s="1"/>
  <c r="K230" i="31" s="1"/>
  <c r="R78" i="23"/>
  <c r="T78" i="23" s="1"/>
  <c r="K68" i="31" s="1"/>
  <c r="R86" i="23"/>
  <c r="T86" i="23" s="1"/>
  <c r="K78" i="31" s="1"/>
  <c r="R90" i="23"/>
  <c r="T90" i="23" s="1"/>
  <c r="K82" i="31" s="1"/>
  <c r="R94" i="23"/>
  <c r="T94" i="23" s="1"/>
  <c r="K86" i="31" s="1"/>
  <c r="R183" i="23"/>
  <c r="T183" i="23" s="1"/>
  <c r="F61" i="25" s="1"/>
  <c r="R187" i="23"/>
  <c r="T187" i="23" s="1"/>
  <c r="K158" i="31" s="1"/>
  <c r="R191" i="23"/>
  <c r="T191" i="23" s="1"/>
  <c r="F63" i="25" s="1"/>
  <c r="F56" i="30" s="1"/>
  <c r="R195" i="23"/>
  <c r="T195" i="23" s="1"/>
  <c r="K165" i="31" s="1"/>
  <c r="R199" i="23"/>
  <c r="T199" i="23" s="1"/>
  <c r="K170" i="31" s="1"/>
  <c r="R203" i="23"/>
  <c r="T203" i="23" s="1"/>
  <c r="K174" i="31" s="1"/>
  <c r="R211" i="23"/>
  <c r="T211" i="23" s="1"/>
  <c r="K182" i="31" s="1"/>
  <c r="R140" i="1"/>
  <c r="U25" i="3"/>
  <c r="U106" i="3"/>
  <c r="U114" i="3"/>
  <c r="R239" i="23"/>
  <c r="T239" i="23" s="1"/>
  <c r="R254" i="23"/>
  <c r="T254" i="23" s="1"/>
  <c r="K216" i="31" s="1"/>
  <c r="R258" i="23"/>
  <c r="T258" i="23" s="1"/>
  <c r="K221" i="31" s="1"/>
  <c r="T9" i="1"/>
  <c r="H26" i="17"/>
  <c r="U68" i="1"/>
  <c r="S86" i="1"/>
  <c r="R86" i="1"/>
  <c r="U183" i="1"/>
  <c r="S205" i="1"/>
  <c r="U233" i="1"/>
  <c r="U42" i="3"/>
  <c r="R23" i="23"/>
  <c r="T23" i="23" s="1"/>
  <c r="K23" i="31" s="1"/>
  <c r="R27" i="23"/>
  <c r="T27" i="23" s="1"/>
  <c r="K27" i="31" s="1"/>
  <c r="R39" i="23"/>
  <c r="T39" i="23" s="1"/>
  <c r="K39" i="31" s="1"/>
  <c r="R43" i="23"/>
  <c r="T43" i="23" s="1"/>
  <c r="K43" i="31" s="1"/>
  <c r="R47" i="23"/>
  <c r="T47" i="23" s="1"/>
  <c r="K47" i="31" s="1"/>
  <c r="R51" i="23"/>
  <c r="T51" i="23" s="1"/>
  <c r="R55" i="23"/>
  <c r="T55" i="23" s="1"/>
  <c r="K52" i="31" s="1"/>
  <c r="R59" i="23"/>
  <c r="T59" i="23" s="1"/>
  <c r="K56" i="31" s="1"/>
  <c r="R63" i="23"/>
  <c r="T63" i="23" s="1"/>
  <c r="K60" i="31" s="1"/>
  <c r="R67" i="23"/>
  <c r="T67" i="23" s="1"/>
  <c r="R71" i="23"/>
  <c r="T71" i="23" s="1"/>
  <c r="R100" i="23"/>
  <c r="T100" i="23" s="1"/>
  <c r="K92" i="31" s="1"/>
  <c r="R186" i="23"/>
  <c r="T186" i="23" s="1"/>
  <c r="K157" i="31" s="1"/>
  <c r="R190" i="23"/>
  <c r="T190" i="23" s="1"/>
  <c r="R194" i="23"/>
  <c r="T194" i="23" s="1"/>
  <c r="K164" i="31" s="1"/>
  <c r="R198" i="23"/>
  <c r="T198" i="23" s="1"/>
  <c r="K169" i="31" s="1"/>
  <c r="R202" i="23"/>
  <c r="T202" i="23" s="1"/>
  <c r="K173" i="31" s="1"/>
  <c r="R206" i="23"/>
  <c r="T206" i="23" s="1"/>
  <c r="K177" i="31" s="1"/>
  <c r="R210" i="23"/>
  <c r="T210" i="23" s="1"/>
  <c r="K181" i="31" s="1"/>
  <c r="R231" i="23"/>
  <c r="T231" i="23" s="1"/>
  <c r="K198" i="31" s="1"/>
  <c r="R235" i="23"/>
  <c r="T235" i="23" s="1"/>
  <c r="K202" i="31" s="1"/>
  <c r="R248" i="23"/>
  <c r="T248" i="23" s="1"/>
  <c r="K211" i="31" s="1"/>
  <c r="R276" i="23"/>
  <c r="T276" i="23" s="1"/>
  <c r="K237" i="31" s="1"/>
  <c r="R280" i="23"/>
  <c r="T280" i="23" s="1"/>
  <c r="K241" i="31" s="1"/>
  <c r="R284" i="23"/>
  <c r="T284" i="23" s="1"/>
  <c r="K245" i="31" s="1"/>
  <c r="R288" i="23"/>
  <c r="T288" i="23" s="1"/>
  <c r="K248" i="31" s="1"/>
  <c r="R292" i="23"/>
  <c r="T292" i="23" s="1"/>
  <c r="K252" i="31" s="1"/>
  <c r="R296" i="23"/>
  <c r="T296" i="23" s="1"/>
  <c r="R309" i="23"/>
  <c r="T309" i="23" s="1"/>
  <c r="K265" i="31" s="1"/>
  <c r="R313" i="23"/>
  <c r="T313" i="23" s="1"/>
  <c r="K269" i="31" s="1"/>
  <c r="R317" i="23"/>
  <c r="T317" i="23" s="1"/>
  <c r="K273" i="31" s="1"/>
  <c r="R321" i="23"/>
  <c r="T321" i="23" s="1"/>
  <c r="T90" i="1"/>
  <c r="U118" i="1"/>
  <c r="M145" i="1"/>
  <c r="Q145" i="1"/>
  <c r="N173" i="1"/>
  <c r="Q173" i="1"/>
  <c r="U236" i="1"/>
  <c r="R30" i="23"/>
  <c r="T30" i="23" s="1"/>
  <c r="K30" i="31" s="1"/>
  <c r="R38" i="23"/>
  <c r="T38" i="23" s="1"/>
  <c r="K38" i="31" s="1"/>
  <c r="R66" i="23"/>
  <c r="T66" i="23" s="1"/>
  <c r="R70" i="23"/>
  <c r="T70" i="23" s="1"/>
  <c r="R99" i="23"/>
  <c r="T99" i="23" s="1"/>
  <c r="K91" i="31" s="1"/>
  <c r="R180" i="23"/>
  <c r="T180" i="23" s="1"/>
  <c r="K151" i="31" s="1"/>
  <c r="R209" i="23"/>
  <c r="T209" i="23" s="1"/>
  <c r="K180" i="31" s="1"/>
  <c r="R230" i="23"/>
  <c r="T230" i="23" s="1"/>
  <c r="K197" i="31" s="1"/>
  <c r="R279" i="23"/>
  <c r="T279" i="23" s="1"/>
  <c r="K240" i="31" s="1"/>
  <c r="R283" i="23"/>
  <c r="T283" i="23" s="1"/>
  <c r="K244" i="31" s="1"/>
  <c r="R295" i="23"/>
  <c r="T295" i="23" s="1"/>
  <c r="R337" i="23"/>
  <c r="T337" i="23" s="1"/>
  <c r="K291" i="31" s="1"/>
  <c r="U27" i="1"/>
  <c r="M54" i="1"/>
  <c r="J71" i="1"/>
  <c r="T72" i="1"/>
  <c r="I205" i="1"/>
  <c r="U105" i="3"/>
  <c r="U52" i="1"/>
  <c r="H13" i="17"/>
  <c r="Q34" i="1"/>
  <c r="N54" i="1"/>
  <c r="P72" i="1"/>
  <c r="Q81" i="1"/>
  <c r="S166" i="1"/>
  <c r="U187" i="1"/>
  <c r="U195" i="1"/>
  <c r="N227" i="1"/>
  <c r="U22" i="3"/>
  <c r="U35" i="3"/>
  <c r="R21" i="23"/>
  <c r="T21" i="23" s="1"/>
  <c r="K21" i="31" s="1"/>
  <c r="R37" i="23"/>
  <c r="T37" i="23" s="1"/>
  <c r="K37" i="31" s="1"/>
  <c r="R229" i="23"/>
  <c r="T229" i="23" s="1"/>
  <c r="R237" i="23"/>
  <c r="T237" i="23" s="1"/>
  <c r="R270" i="23"/>
  <c r="T270" i="23" s="1"/>
  <c r="K233" i="31" s="1"/>
  <c r="R274" i="23"/>
  <c r="T274" i="23" s="1"/>
  <c r="K235" i="31" s="1"/>
  <c r="R298" i="23"/>
  <c r="T298" i="23" s="1"/>
  <c r="G62" i="17"/>
  <c r="G98" i="17" s="1"/>
  <c r="G13" i="17"/>
  <c r="S9" i="1"/>
  <c r="S14" i="1"/>
  <c r="Q49" i="1"/>
  <c r="Q72" i="1"/>
  <c r="T140" i="1"/>
  <c r="U180" i="1"/>
  <c r="M209" i="1"/>
  <c r="U11" i="3"/>
  <c r="U29" i="3"/>
  <c r="U33" i="3"/>
  <c r="U91" i="3"/>
  <c r="U111" i="3"/>
  <c r="R13" i="23"/>
  <c r="T13" i="23" s="1"/>
  <c r="K11" i="31" s="1"/>
  <c r="R77" i="23"/>
  <c r="T77" i="23" s="1"/>
  <c r="F34" i="25" s="1"/>
  <c r="F30" i="30" s="1"/>
  <c r="R81" i="23"/>
  <c r="T81" i="23" s="1"/>
  <c r="K73" i="31" s="1"/>
  <c r="R85" i="23"/>
  <c r="T85" i="23" s="1"/>
  <c r="K77" i="31" s="1"/>
  <c r="R102" i="23"/>
  <c r="T102" i="23" s="1"/>
  <c r="K94" i="31" s="1"/>
  <c r="R118" i="23"/>
  <c r="T118" i="23" s="1"/>
  <c r="R216" i="23"/>
  <c r="T216" i="23" s="1"/>
  <c r="K185" i="31" s="1"/>
  <c r="R220" i="23"/>
  <c r="T220" i="23" s="1"/>
  <c r="K189" i="31" s="1"/>
  <c r="R224" i="23"/>
  <c r="T224" i="23" s="1"/>
  <c r="K193" i="31" s="1"/>
  <c r="R256" i="23"/>
  <c r="T256" i="23" s="1"/>
  <c r="R261" i="23"/>
  <c r="T261" i="23" s="1"/>
  <c r="K224" i="31" s="1"/>
  <c r="R265" i="23"/>
  <c r="T265" i="23" s="1"/>
  <c r="K228" i="31" s="1"/>
  <c r="H9" i="17"/>
  <c r="S34" i="1"/>
  <c r="R49" i="1"/>
  <c r="S81" i="1"/>
  <c r="S115" i="1"/>
  <c r="S173" i="1"/>
  <c r="P227" i="1"/>
  <c r="N39" i="1"/>
  <c r="S39" i="1"/>
  <c r="S49" i="1"/>
  <c r="Q90" i="1"/>
  <c r="U123" i="1"/>
  <c r="U142" i="1"/>
  <c r="N166" i="1"/>
  <c r="M173" i="1"/>
  <c r="T173" i="1"/>
  <c r="U199" i="1"/>
  <c r="U92" i="3"/>
  <c r="R28" i="23"/>
  <c r="T28" i="23" s="1"/>
  <c r="K28" i="31" s="1"/>
  <c r="R36" i="23"/>
  <c r="T36" i="23" s="1"/>
  <c r="K36" i="31" s="1"/>
  <c r="R60" i="23"/>
  <c r="T60" i="23" s="1"/>
  <c r="K57" i="31" s="1"/>
  <c r="R76" i="23"/>
  <c r="T76" i="23" s="1"/>
  <c r="R84" i="23"/>
  <c r="T84" i="23" s="1"/>
  <c r="K76" i="31" s="1"/>
  <c r="R105" i="23"/>
  <c r="T105" i="23" s="1"/>
  <c r="K97" i="31" s="1"/>
  <c r="R113" i="23"/>
  <c r="T113" i="23" s="1"/>
  <c r="R219" i="23"/>
  <c r="T219" i="23" s="1"/>
  <c r="K188" i="31" s="1"/>
  <c r="R227" i="23"/>
  <c r="T227" i="23" s="1"/>
  <c r="K195" i="31" s="1"/>
  <c r="R240" i="23"/>
  <c r="T240" i="23" s="1"/>
  <c r="K203" i="31" s="1"/>
  <c r="R251" i="23"/>
  <c r="T251" i="23" s="1"/>
  <c r="K213" i="31" s="1"/>
  <c r="R255" i="23"/>
  <c r="T255" i="23" s="1"/>
  <c r="K218" i="31" s="1"/>
  <c r="R264" i="23"/>
  <c r="T264" i="23" s="1"/>
  <c r="K227" i="31" s="1"/>
  <c r="R282" i="23"/>
  <c r="T282" i="23" s="1"/>
  <c r="K243" i="31" s="1"/>
  <c r="R303" i="23"/>
  <c r="T303" i="23" s="1"/>
  <c r="K259" i="31" s="1"/>
  <c r="R252" i="23"/>
  <c r="T252" i="23" s="1"/>
  <c r="K214" i="31" s="1"/>
  <c r="R244" i="23"/>
  <c r="T244" i="23" s="1"/>
  <c r="K207" i="31" s="1"/>
  <c r="R93" i="23"/>
  <c r="T93" i="23" s="1"/>
  <c r="K85" i="31" s="1"/>
  <c r="R112" i="23"/>
  <c r="T112" i="23" s="1"/>
  <c r="K104" i="31" s="1"/>
  <c r="T14" i="1"/>
  <c r="R90" i="1"/>
  <c r="U111" i="1"/>
  <c r="U33" i="1"/>
  <c r="G9" i="17"/>
  <c r="T54" i="1"/>
  <c r="N74" i="23"/>
  <c r="R226" i="23"/>
  <c r="T226" i="23" s="1"/>
  <c r="T215" i="1"/>
  <c r="N301" i="23"/>
  <c r="R227" i="1"/>
  <c r="R9" i="1"/>
  <c r="U88" i="1"/>
  <c r="U99" i="1"/>
  <c r="U76" i="1"/>
  <c r="R166" i="1"/>
  <c r="R104" i="23"/>
  <c r="T104" i="23" s="1"/>
  <c r="K96" i="31" s="1"/>
  <c r="N182" i="23"/>
  <c r="U129" i="1"/>
  <c r="R115" i="1"/>
  <c r="U10" i="1"/>
  <c r="T34" i="1"/>
  <c r="U102" i="3"/>
  <c r="M182" i="23"/>
  <c r="R266" i="23"/>
  <c r="T266" i="23" s="1"/>
  <c r="K229" i="31" s="1"/>
  <c r="T39" i="1"/>
  <c r="T49" i="1"/>
  <c r="T166" i="1"/>
  <c r="R340" i="23"/>
  <c r="T340" i="23" s="1"/>
  <c r="K294" i="31" s="1"/>
  <c r="R26" i="23"/>
  <c r="T26" i="23" s="1"/>
  <c r="K26" i="31" s="1"/>
  <c r="U11" i="1"/>
  <c r="U16" i="1"/>
  <c r="U59" i="1"/>
  <c r="U67" i="1"/>
  <c r="U77" i="1"/>
  <c r="R81" i="1"/>
  <c r="U120" i="1"/>
  <c r="R145" i="1"/>
  <c r="R206" i="1"/>
  <c r="U218" i="1"/>
  <c r="U50" i="3"/>
  <c r="U67" i="3"/>
  <c r="R25" i="23"/>
  <c r="T25" i="23" s="1"/>
  <c r="K25" i="31" s="1"/>
  <c r="R29" i="23"/>
  <c r="T29" i="23" s="1"/>
  <c r="F27" i="25" s="1"/>
  <c r="F27" i="30" s="1"/>
  <c r="R34" i="23"/>
  <c r="T34" i="23" s="1"/>
  <c r="K34" i="31" s="1"/>
  <c r="R46" i="23"/>
  <c r="T46" i="23" s="1"/>
  <c r="K46" i="31" s="1"/>
  <c r="R89" i="23"/>
  <c r="T89" i="23" s="1"/>
  <c r="F38" i="25" s="1"/>
  <c r="F34" i="30" s="1"/>
  <c r="R98" i="23"/>
  <c r="T98" i="23" s="1"/>
  <c r="K90" i="31" s="1"/>
  <c r="R107" i="23"/>
  <c r="T107" i="23" s="1"/>
  <c r="K99" i="31" s="1"/>
  <c r="R117" i="23"/>
  <c r="T117" i="23" s="1"/>
  <c r="R122" i="23"/>
  <c r="T122" i="23" s="1"/>
  <c r="R176" i="23"/>
  <c r="R179" i="23"/>
  <c r="T179" i="23" s="1"/>
  <c r="K150" i="31" s="1"/>
  <c r="R185" i="23"/>
  <c r="T185" i="23" s="1"/>
  <c r="K156" i="31" s="1"/>
  <c r="R189" i="23"/>
  <c r="T189" i="23" s="1"/>
  <c r="K160" i="31" s="1"/>
  <c r="R193" i="23"/>
  <c r="T193" i="23" s="1"/>
  <c r="K163" i="31" s="1"/>
  <c r="R197" i="23"/>
  <c r="T197" i="23" s="1"/>
  <c r="K168" i="31" s="1"/>
  <c r="R201" i="23"/>
  <c r="T201" i="23" s="1"/>
  <c r="K172" i="31" s="1"/>
  <c r="R205" i="23"/>
  <c r="T205" i="23" s="1"/>
  <c r="K176" i="31" s="1"/>
  <c r="R215" i="23"/>
  <c r="T215" i="23" s="1"/>
  <c r="K184" i="31" s="1"/>
  <c r="R249" i="23"/>
  <c r="T249" i="23" s="1"/>
  <c r="K212" i="31" s="1"/>
  <c r="R278" i="23"/>
  <c r="T278" i="23" s="1"/>
  <c r="K239" i="31" s="1"/>
  <c r="R287" i="23"/>
  <c r="T287" i="23" s="1"/>
  <c r="R291" i="23"/>
  <c r="T291" i="23" s="1"/>
  <c r="K251" i="31" s="1"/>
  <c r="R348" i="23"/>
  <c r="T348" i="23" s="1"/>
  <c r="M301" i="23"/>
  <c r="U152" i="1"/>
  <c r="U50" i="1"/>
  <c r="I71" i="1"/>
  <c r="T81" i="1"/>
  <c r="U94" i="1"/>
  <c r="U139" i="1"/>
  <c r="R223" i="1"/>
  <c r="U55" i="3"/>
  <c r="U56" i="3"/>
  <c r="U71" i="3"/>
  <c r="U107" i="3"/>
  <c r="R24" i="23"/>
  <c r="T24" i="23" s="1"/>
  <c r="K24" i="31" s="1"/>
  <c r="R41" i="23"/>
  <c r="T41" i="23" s="1"/>
  <c r="K41" i="31" s="1"/>
  <c r="R45" i="23"/>
  <c r="T45" i="23" s="1"/>
  <c r="K45" i="31" s="1"/>
  <c r="R49" i="23"/>
  <c r="T49" i="23" s="1"/>
  <c r="F17" i="25" s="1"/>
  <c r="F16" i="30" s="1"/>
  <c r="R53" i="23"/>
  <c r="T53" i="23" s="1"/>
  <c r="K50" i="31" s="1"/>
  <c r="R58" i="23"/>
  <c r="T58" i="23" s="1"/>
  <c r="K55" i="31" s="1"/>
  <c r="R79" i="23"/>
  <c r="T79" i="23" s="1"/>
  <c r="K71" i="31" s="1"/>
  <c r="R88" i="23"/>
  <c r="T88" i="23" s="1"/>
  <c r="K80" i="31" s="1"/>
  <c r="R92" i="23"/>
  <c r="T92" i="23" s="1"/>
  <c r="K84" i="31" s="1"/>
  <c r="R106" i="23"/>
  <c r="T106" i="23" s="1"/>
  <c r="K98" i="31" s="1"/>
  <c r="R111" i="23"/>
  <c r="T111" i="23" s="1"/>
  <c r="K103" i="31" s="1"/>
  <c r="R121" i="23"/>
  <c r="T121" i="23" s="1"/>
  <c r="R184" i="23"/>
  <c r="T184" i="23" s="1"/>
  <c r="K155" i="31" s="1"/>
  <c r="R188" i="23"/>
  <c r="T188" i="23" s="1"/>
  <c r="K159" i="31" s="1"/>
  <c r="R192" i="23"/>
  <c r="T192" i="23" s="1"/>
  <c r="K162" i="31" s="1"/>
  <c r="R196" i="23"/>
  <c r="T196" i="23" s="1"/>
  <c r="K167" i="31" s="1"/>
  <c r="R200" i="23"/>
  <c r="T200" i="23" s="1"/>
  <c r="K171" i="31" s="1"/>
  <c r="R204" i="23"/>
  <c r="T204" i="23" s="1"/>
  <c r="K175" i="31" s="1"/>
  <c r="R233" i="23"/>
  <c r="T233" i="23" s="1"/>
  <c r="K200" i="31" s="1"/>
  <c r="R277" i="23"/>
  <c r="T277" i="23" s="1"/>
  <c r="R281" i="23"/>
  <c r="T281" i="23" s="1"/>
  <c r="K242" i="31" s="1"/>
  <c r="R286" i="23"/>
  <c r="T286" i="23" s="1"/>
  <c r="R290" i="23"/>
  <c r="T290" i="23" s="1"/>
  <c r="F75" i="25" s="1"/>
  <c r="F65" i="30" s="1"/>
  <c r="R299" i="23"/>
  <c r="T299" i="23" s="1"/>
  <c r="K255" i="31" s="1"/>
  <c r="R338" i="23"/>
  <c r="T338" i="23" s="1"/>
  <c r="K292" i="31" s="1"/>
  <c r="M347" i="23"/>
  <c r="M346" i="23" s="1"/>
  <c r="T115" i="1"/>
  <c r="R215" i="1"/>
  <c r="R11" i="23"/>
  <c r="T11" i="23" s="1"/>
  <c r="F12" i="25" s="1"/>
  <c r="F11" i="30" s="1"/>
  <c r="R32" i="23"/>
  <c r="T32" i="23" s="1"/>
  <c r="K32" i="31" s="1"/>
  <c r="R57" i="23"/>
  <c r="T57" i="23" s="1"/>
  <c r="K54" i="31" s="1"/>
  <c r="R65" i="23"/>
  <c r="T65" i="23" s="1"/>
  <c r="R69" i="23"/>
  <c r="T69" i="23" s="1"/>
  <c r="R73" i="23"/>
  <c r="T73" i="23" s="1"/>
  <c r="K61" i="31" s="1"/>
  <c r="R83" i="23"/>
  <c r="T83" i="23" s="1"/>
  <c r="K75" i="31" s="1"/>
  <c r="R96" i="23"/>
  <c r="T96" i="23" s="1"/>
  <c r="K88" i="31" s="1"/>
  <c r="R115" i="23"/>
  <c r="T115" i="23" s="1"/>
  <c r="R208" i="23"/>
  <c r="T208" i="23" s="1"/>
  <c r="K179" i="31" s="1"/>
  <c r="R213" i="23"/>
  <c r="T213" i="23" s="1"/>
  <c r="R223" i="23"/>
  <c r="T223" i="23" s="1"/>
  <c r="K192" i="31" s="1"/>
  <c r="R263" i="23"/>
  <c r="T263" i="23" s="1"/>
  <c r="K226" i="31" s="1"/>
  <c r="R272" i="23"/>
  <c r="T272" i="23" s="1"/>
  <c r="R294" i="23"/>
  <c r="T294" i="23" s="1"/>
  <c r="K254" i="31" s="1"/>
  <c r="R308" i="23"/>
  <c r="T308" i="23" s="1"/>
  <c r="K264" i="31" s="1"/>
  <c r="R312" i="23"/>
  <c r="T312" i="23" s="1"/>
  <c r="K268" i="31" s="1"/>
  <c r="R316" i="23"/>
  <c r="T316" i="23" s="1"/>
  <c r="K272" i="31" s="1"/>
  <c r="R320" i="23"/>
  <c r="T320" i="23" s="1"/>
  <c r="K276" i="31" s="1"/>
  <c r="N323" i="23"/>
  <c r="U101" i="3"/>
  <c r="N175" i="23"/>
  <c r="G66" i="17"/>
  <c r="U21" i="1"/>
  <c r="U29" i="1"/>
  <c r="R34" i="1"/>
  <c r="U64" i="1"/>
  <c r="T86" i="1"/>
  <c r="U114" i="1"/>
  <c r="U198" i="1"/>
  <c r="U234" i="1"/>
  <c r="U12" i="3"/>
  <c r="U90" i="3"/>
  <c r="U115" i="3"/>
  <c r="R31" i="23"/>
  <c r="T31" i="23" s="1"/>
  <c r="K31" i="31" s="1"/>
  <c r="R35" i="23"/>
  <c r="T35" i="23" s="1"/>
  <c r="K35" i="31" s="1"/>
  <c r="R44" i="23"/>
  <c r="T44" i="23" s="1"/>
  <c r="F14" i="25" s="1"/>
  <c r="F13" i="30" s="1"/>
  <c r="R52" i="23"/>
  <c r="T52" i="23" s="1"/>
  <c r="K49" i="31" s="1"/>
  <c r="R56" i="23"/>
  <c r="T56" i="23" s="1"/>
  <c r="K53" i="31" s="1"/>
  <c r="R64" i="23"/>
  <c r="T64" i="23" s="1"/>
  <c r="R68" i="23"/>
  <c r="T68" i="23" s="1"/>
  <c r="R72" i="23"/>
  <c r="T72" i="23" s="1"/>
  <c r="R82" i="23"/>
  <c r="T82" i="23" s="1"/>
  <c r="K74" i="31" s="1"/>
  <c r="R95" i="23"/>
  <c r="T95" i="23" s="1"/>
  <c r="K87" i="31" s="1"/>
  <c r="R109" i="23"/>
  <c r="T109" i="23" s="1"/>
  <c r="K101" i="31" s="1"/>
  <c r="R114" i="23"/>
  <c r="T114" i="23" s="1"/>
  <c r="R119" i="23"/>
  <c r="T119" i="23" s="1"/>
  <c r="R207" i="23"/>
  <c r="T207" i="23" s="1"/>
  <c r="K178" i="31" s="1"/>
  <c r="R246" i="23"/>
  <c r="T246" i="23" s="1"/>
  <c r="V246" i="23" s="1"/>
  <c r="R262" i="23"/>
  <c r="T262" i="23" s="1"/>
  <c r="K225" i="31" s="1"/>
  <c r="R271" i="23"/>
  <c r="T271" i="23" s="1"/>
  <c r="R275" i="23"/>
  <c r="T275" i="23" s="1"/>
  <c r="K236" i="31" s="1"/>
  <c r="R293" i="23"/>
  <c r="T293" i="23" s="1"/>
  <c r="K253" i="31" s="1"/>
  <c r="R297" i="23"/>
  <c r="T297" i="23" s="1"/>
  <c r="R307" i="23"/>
  <c r="T307" i="23" s="1"/>
  <c r="K263" i="31" s="1"/>
  <c r="R311" i="23"/>
  <c r="T311" i="23" s="1"/>
  <c r="K267" i="31" s="1"/>
  <c r="R319" i="23"/>
  <c r="T319" i="23" s="1"/>
  <c r="K275" i="31" s="1"/>
  <c r="R332" i="23"/>
  <c r="T332" i="23" s="1"/>
  <c r="M74" i="23"/>
  <c r="R16" i="23"/>
  <c r="T16" i="23" s="1"/>
  <c r="K14" i="31" s="1"/>
  <c r="R19" i="23"/>
  <c r="T19" i="23" s="1"/>
  <c r="K19" i="31" s="1"/>
  <c r="R302" i="23"/>
  <c r="T302" i="23" s="1"/>
  <c r="R342" i="23"/>
  <c r="T342" i="23" s="1"/>
  <c r="K296" i="31" s="1"/>
  <c r="M344" i="23"/>
  <c r="M343" i="23" s="1"/>
  <c r="R18" i="23"/>
  <c r="T18" i="23" s="1"/>
  <c r="K18" i="31" s="1"/>
  <c r="R341" i="23"/>
  <c r="T341" i="23" s="1"/>
  <c r="K295" i="31" s="1"/>
  <c r="R352" i="23"/>
  <c r="R351" i="23" s="1"/>
  <c r="R350" i="23" s="1"/>
  <c r="J63" i="22"/>
  <c r="M10" i="23"/>
  <c r="R17" i="23"/>
  <c r="T17" i="23" s="1"/>
  <c r="K15" i="31" s="1"/>
  <c r="M175" i="23"/>
  <c r="R304" i="23"/>
  <c r="T304" i="23" s="1"/>
  <c r="K260" i="31" s="1"/>
  <c r="R339" i="23"/>
  <c r="T339" i="23" s="1"/>
  <c r="F91" i="25" s="1"/>
  <c r="F79" i="30" s="1"/>
  <c r="R63" i="22"/>
  <c r="T6" i="16"/>
  <c r="W6" i="16" s="1"/>
  <c r="G105" i="17"/>
  <c r="G106" i="17" s="1"/>
  <c r="H63" i="17"/>
  <c r="H62" i="17" s="1"/>
  <c r="H98" i="17" s="1"/>
  <c r="T9" i="16"/>
  <c r="H105" i="17"/>
  <c r="H106" i="17" s="1"/>
  <c r="AA6" i="16"/>
  <c r="AC6" i="16" s="1"/>
  <c r="H90" i="17"/>
  <c r="H71" i="17"/>
  <c r="H66" i="17" s="1"/>
  <c r="E22" i="24"/>
  <c r="J8" i="1"/>
  <c r="AA9" i="16"/>
  <c r="AC9" i="16" s="1"/>
  <c r="H7" i="17"/>
  <c r="G26" i="17"/>
  <c r="M9" i="1"/>
  <c r="M14" i="1"/>
  <c r="M166" i="1"/>
  <c r="P173" i="1"/>
  <c r="U181" i="1"/>
  <c r="M90" i="1"/>
  <c r="I145" i="1"/>
  <c r="U193" i="1"/>
  <c r="U216" i="1"/>
  <c r="U55" i="1"/>
  <c r="U172" i="1"/>
  <c r="U182" i="1"/>
  <c r="U186" i="1"/>
  <c r="F80" i="17"/>
  <c r="F79" i="17" s="1"/>
  <c r="G61" i="17"/>
  <c r="G60" i="17" s="1"/>
  <c r="U200" i="1"/>
  <c r="I9" i="1"/>
  <c r="U164" i="1"/>
  <c r="U178" i="1"/>
  <c r="U188" i="1"/>
  <c r="M213" i="1"/>
  <c r="M227" i="1"/>
  <c r="U112" i="3"/>
  <c r="R131" i="23"/>
  <c r="T131" i="23" s="1"/>
  <c r="K112" i="31" s="1"/>
  <c r="R139" i="23"/>
  <c r="T139" i="23" s="1"/>
  <c r="R143" i="23"/>
  <c r="T143" i="23" s="1"/>
  <c r="K120" i="31" s="1"/>
  <c r="R147" i="23"/>
  <c r="T147" i="23" s="1"/>
  <c r="R151" i="23"/>
  <c r="T151" i="23" s="1"/>
  <c r="R155" i="23"/>
  <c r="T155" i="23" s="1"/>
  <c r="K131" i="31" s="1"/>
  <c r="R159" i="23"/>
  <c r="T159" i="23" s="1"/>
  <c r="K135" i="31" s="1"/>
  <c r="R163" i="23"/>
  <c r="T163" i="23" s="1"/>
  <c r="R167" i="23"/>
  <c r="T167" i="23" s="1"/>
  <c r="K141" i="31" s="1"/>
  <c r="R171" i="23"/>
  <c r="T171" i="23" s="1"/>
  <c r="U83" i="3"/>
  <c r="U204" i="1"/>
  <c r="U212" i="1"/>
  <c r="U110" i="3"/>
  <c r="U118" i="3"/>
  <c r="M125" i="23"/>
  <c r="R130" i="23"/>
  <c r="T130" i="23" s="1"/>
  <c r="K111" i="31" s="1"/>
  <c r="R134" i="23"/>
  <c r="T134" i="23" s="1"/>
  <c r="K114" i="31" s="1"/>
  <c r="R138" i="23"/>
  <c r="T138" i="23" s="1"/>
  <c r="R142" i="23"/>
  <c r="T142" i="23" s="1"/>
  <c r="K119" i="31" s="1"/>
  <c r="R146" i="23"/>
  <c r="T146" i="23" s="1"/>
  <c r="K123" i="31" s="1"/>
  <c r="R150" i="23"/>
  <c r="T150" i="23" s="1"/>
  <c r="K127" i="31" s="1"/>
  <c r="R154" i="23"/>
  <c r="T154" i="23" s="1"/>
  <c r="R158" i="23"/>
  <c r="T158" i="23" s="1"/>
  <c r="K134" i="31" s="1"/>
  <c r="R162" i="23"/>
  <c r="T162" i="23" s="1"/>
  <c r="K138" i="31" s="1"/>
  <c r="R166" i="23"/>
  <c r="T166" i="23" s="1"/>
  <c r="K140" i="31" s="1"/>
  <c r="R170" i="23"/>
  <c r="T170" i="23" s="1"/>
  <c r="R174" i="23"/>
  <c r="T174" i="23" s="1"/>
  <c r="N241" i="23"/>
  <c r="R273" i="23"/>
  <c r="T273" i="23" s="1"/>
  <c r="R133" i="23"/>
  <c r="T133" i="23" s="1"/>
  <c r="R137" i="23"/>
  <c r="T137" i="23" s="1"/>
  <c r="R141" i="23"/>
  <c r="T141" i="23" s="1"/>
  <c r="R145" i="23"/>
  <c r="T145" i="23" s="1"/>
  <c r="R153" i="23"/>
  <c r="T153" i="23" s="1"/>
  <c r="K129" i="31" s="1"/>
  <c r="R157" i="23"/>
  <c r="T157" i="23" s="1"/>
  <c r="K133" i="31" s="1"/>
  <c r="R161" i="23"/>
  <c r="T161" i="23" s="1"/>
  <c r="K137" i="31" s="1"/>
  <c r="R165" i="23"/>
  <c r="T165" i="23" s="1"/>
  <c r="K139" i="31" s="1"/>
  <c r="R169" i="23"/>
  <c r="T169" i="23" s="1"/>
  <c r="K143" i="31" s="1"/>
  <c r="R173" i="23"/>
  <c r="T173" i="23" s="1"/>
  <c r="R132" i="23"/>
  <c r="T132" i="23" s="1"/>
  <c r="K113" i="31" s="1"/>
  <c r="R136" i="23"/>
  <c r="T136" i="23" s="1"/>
  <c r="K116" i="31" s="1"/>
  <c r="R140" i="23"/>
  <c r="T140" i="23" s="1"/>
  <c r="K117" i="31" s="1"/>
  <c r="R152" i="23"/>
  <c r="T152" i="23" s="1"/>
  <c r="K128" i="31" s="1"/>
  <c r="R156" i="23"/>
  <c r="T156" i="23" s="1"/>
  <c r="K132" i="31" s="1"/>
  <c r="R160" i="23"/>
  <c r="T160" i="23" s="1"/>
  <c r="R164" i="23"/>
  <c r="T164" i="23" s="1"/>
  <c r="R168" i="23"/>
  <c r="T168" i="23" s="1"/>
  <c r="K142" i="31" s="1"/>
  <c r="R172" i="23"/>
  <c r="T172" i="23" s="1"/>
  <c r="M241" i="23"/>
  <c r="M323" i="23"/>
  <c r="R325" i="23"/>
  <c r="T325" i="23" s="1"/>
  <c r="K280" i="31" s="1"/>
  <c r="R333" i="23"/>
  <c r="T333" i="23" s="1"/>
  <c r="K287" i="31" s="1"/>
  <c r="R247" i="23"/>
  <c r="T247" i="23" s="1"/>
  <c r="K210" i="31" s="1"/>
  <c r="R330" i="23"/>
  <c r="T330" i="23" s="1"/>
  <c r="K285" i="31" s="1"/>
  <c r="R329" i="23"/>
  <c r="T329" i="23" s="1"/>
  <c r="K284" i="31" s="1"/>
  <c r="R328" i="23"/>
  <c r="T328" i="23" s="1"/>
  <c r="K283" i="31" s="1"/>
  <c r="R336" i="23"/>
  <c r="T336" i="23" s="1"/>
  <c r="K290" i="31" s="1"/>
  <c r="R305" i="23"/>
  <c r="T305" i="23" s="1"/>
  <c r="K261" i="31" s="1"/>
  <c r="R326" i="23"/>
  <c r="T326" i="23" s="1"/>
  <c r="K281" i="31" s="1"/>
  <c r="R334" i="23"/>
  <c r="T334" i="23" s="1"/>
  <c r="K288" i="31" s="1"/>
  <c r="L69" i="45"/>
  <c r="M69" i="45" s="1"/>
  <c r="R74" i="22"/>
  <c r="J74" i="22"/>
  <c r="J61" i="22"/>
  <c r="J27" i="10" l="1"/>
  <c r="P16" i="31"/>
  <c r="P17" i="31"/>
  <c r="P66" i="31"/>
  <c r="L46" i="31"/>
  <c r="M46" i="31" s="1"/>
  <c r="M67" i="31"/>
  <c r="L284" i="31"/>
  <c r="M284" i="31" s="1"/>
  <c r="L98" i="31"/>
  <c r="P98" i="31" s="1"/>
  <c r="L283" i="31"/>
  <c r="M283" i="31" s="1"/>
  <c r="L113" i="31"/>
  <c r="M113" i="31" s="1"/>
  <c r="L138" i="31"/>
  <c r="M138" i="31" s="1"/>
  <c r="L111" i="31"/>
  <c r="M111" i="31" s="1"/>
  <c r="L141" i="31"/>
  <c r="M141" i="31" s="1"/>
  <c r="L112" i="31"/>
  <c r="M112" i="31" s="1"/>
  <c r="L296" i="31"/>
  <c r="M296" i="31" s="1"/>
  <c r="L263" i="31"/>
  <c r="M263" i="31" s="1"/>
  <c r="L53" i="31"/>
  <c r="P53" i="31" s="1"/>
  <c r="L254" i="31"/>
  <c r="M254" i="31" s="1"/>
  <c r="L75" i="31"/>
  <c r="P75" i="31" s="1"/>
  <c r="L200" i="31"/>
  <c r="M200" i="31" s="1"/>
  <c r="L103" i="31"/>
  <c r="P103" i="31" s="1"/>
  <c r="L45" i="31"/>
  <c r="P45" i="31" s="1"/>
  <c r="L251" i="31"/>
  <c r="M251" i="31" s="1"/>
  <c r="L163" i="31"/>
  <c r="M163" i="31" s="1"/>
  <c r="L90" i="31"/>
  <c r="P90" i="31" s="1"/>
  <c r="L104" i="31"/>
  <c r="P104" i="31" s="1"/>
  <c r="L213" i="31"/>
  <c r="M213" i="31" s="1"/>
  <c r="L57" i="31"/>
  <c r="M57" i="31" s="1"/>
  <c r="L193" i="31"/>
  <c r="M193" i="31" s="1"/>
  <c r="L11" i="31"/>
  <c r="M11" i="31" s="1"/>
  <c r="L235" i="31"/>
  <c r="M235" i="31" s="1"/>
  <c r="L291" i="31"/>
  <c r="M291" i="31" s="1"/>
  <c r="L252" i="31"/>
  <c r="M252" i="31" s="1"/>
  <c r="L181" i="31"/>
  <c r="M181" i="31" s="1"/>
  <c r="L39" i="31"/>
  <c r="P39" i="31" s="1"/>
  <c r="L158" i="31"/>
  <c r="M158" i="31" s="1"/>
  <c r="L51" i="31"/>
  <c r="P51" i="31" s="1"/>
  <c r="L13" i="31"/>
  <c r="M13" i="31" s="1"/>
  <c r="L246" i="31"/>
  <c r="M246" i="31" s="1"/>
  <c r="L134" i="31"/>
  <c r="M134" i="31" s="1"/>
  <c r="L160" i="31"/>
  <c r="M160" i="31" s="1"/>
  <c r="L248" i="31"/>
  <c r="M248" i="31" s="1"/>
  <c r="L40" i="31"/>
  <c r="P40" i="31" s="1"/>
  <c r="L135" i="31"/>
  <c r="M135" i="31" s="1"/>
  <c r="L19" i="31"/>
  <c r="P19" i="31" s="1"/>
  <c r="L253" i="31"/>
  <c r="M253" i="31" s="1"/>
  <c r="L101" i="31"/>
  <c r="P101" i="31" s="1"/>
  <c r="L226" i="31"/>
  <c r="M226" i="31" s="1"/>
  <c r="L292" i="31"/>
  <c r="M292" i="31" s="1"/>
  <c r="L171" i="31"/>
  <c r="M171" i="31" s="1"/>
  <c r="L84" i="31"/>
  <c r="P84" i="31" s="1"/>
  <c r="L24" i="31"/>
  <c r="P24" i="31" s="1"/>
  <c r="L239" i="31"/>
  <c r="M239" i="31" s="1"/>
  <c r="L156" i="31"/>
  <c r="M156" i="31" s="1"/>
  <c r="L26" i="31"/>
  <c r="P26" i="31" s="1"/>
  <c r="L207" i="31"/>
  <c r="M207" i="31" s="1"/>
  <c r="L195" i="31"/>
  <c r="M195" i="31" s="1"/>
  <c r="L28" i="31"/>
  <c r="P28" i="31" s="1"/>
  <c r="L185" i="31"/>
  <c r="M185" i="31" s="1"/>
  <c r="L244" i="31"/>
  <c r="M244" i="31" s="1"/>
  <c r="L38" i="31"/>
  <c r="P38" i="31" s="1"/>
  <c r="L245" i="31"/>
  <c r="M245" i="31" s="1"/>
  <c r="L173" i="31"/>
  <c r="M173" i="31" s="1"/>
  <c r="L60" i="31"/>
  <c r="P60" i="31" s="1"/>
  <c r="L23" i="31"/>
  <c r="P23" i="31" s="1"/>
  <c r="L86" i="31"/>
  <c r="P86" i="31" s="1"/>
  <c r="L42" i="31"/>
  <c r="P42" i="31" s="1"/>
  <c r="L208" i="31"/>
  <c r="M208" i="31" s="1"/>
  <c r="L277" i="31"/>
  <c r="M277" i="31" s="1"/>
  <c r="L220" i="31"/>
  <c r="M220" i="31" s="1"/>
  <c r="L49" i="31"/>
  <c r="P49" i="31" s="1"/>
  <c r="L85" i="31"/>
  <c r="P85" i="31" s="1"/>
  <c r="L177" i="31"/>
  <c r="M177" i="31" s="1"/>
  <c r="L89" i="31"/>
  <c r="P89" i="31" s="1"/>
  <c r="L285" i="31"/>
  <c r="M285" i="31" s="1"/>
  <c r="L14" i="31"/>
  <c r="P14" i="31" s="1"/>
  <c r="L167" i="31"/>
  <c r="M167" i="31" s="1"/>
  <c r="L212" i="31"/>
  <c r="M212" i="31" s="1"/>
  <c r="L150" i="31"/>
  <c r="M150" i="31" s="1"/>
  <c r="L34" i="31"/>
  <c r="P34" i="31" s="1"/>
  <c r="L294" i="31"/>
  <c r="M294" i="31" s="1"/>
  <c r="L214" i="31"/>
  <c r="M214" i="31" s="1"/>
  <c r="L188" i="31"/>
  <c r="M188" i="31" s="1"/>
  <c r="L240" i="31"/>
  <c r="M240" i="31" s="1"/>
  <c r="L30" i="31"/>
  <c r="M30" i="31" s="1"/>
  <c r="L241" i="31"/>
  <c r="M241" i="31" s="1"/>
  <c r="L169" i="31"/>
  <c r="M169" i="31" s="1"/>
  <c r="L56" i="31"/>
  <c r="P56" i="31" s="1"/>
  <c r="L182" i="31"/>
  <c r="M182" i="31" s="1"/>
  <c r="L82" i="31"/>
  <c r="P82" i="31" s="1"/>
  <c r="L100" i="31"/>
  <c r="P100" i="31" s="1"/>
  <c r="L12" i="31"/>
  <c r="M12" i="31" s="1"/>
  <c r="L274" i="31"/>
  <c r="M274" i="31" s="1"/>
  <c r="L215" i="31"/>
  <c r="M215" i="31" s="1"/>
  <c r="L312" i="31"/>
  <c r="M312" i="31" s="1"/>
  <c r="L282" i="31"/>
  <c r="M282" i="31" s="1"/>
  <c r="L142" i="31"/>
  <c r="M142" i="31" s="1"/>
  <c r="L41" i="31"/>
  <c r="P41" i="31" s="1"/>
  <c r="L233" i="31"/>
  <c r="M233" i="31" s="1"/>
  <c r="L289" i="31"/>
  <c r="M289" i="31" s="1"/>
  <c r="L139" i="31"/>
  <c r="M139" i="31" s="1"/>
  <c r="L236" i="31"/>
  <c r="M236" i="31" s="1"/>
  <c r="L255" i="31"/>
  <c r="M255" i="31" s="1"/>
  <c r="L288" i="31"/>
  <c r="M288" i="31" s="1"/>
  <c r="L287" i="31"/>
  <c r="M287" i="31" s="1"/>
  <c r="L132" i="31"/>
  <c r="M132" i="31" s="1"/>
  <c r="L137" i="31"/>
  <c r="M137" i="31" s="1"/>
  <c r="L123" i="31"/>
  <c r="M123" i="31" s="1"/>
  <c r="L74" i="31"/>
  <c r="P74" i="31" s="1"/>
  <c r="L31" i="31"/>
  <c r="M31" i="31" s="1"/>
  <c r="L276" i="31"/>
  <c r="M276" i="31" s="1"/>
  <c r="L54" i="31"/>
  <c r="P54" i="31" s="1"/>
  <c r="L162" i="31"/>
  <c r="M162" i="31" s="1"/>
  <c r="L71" i="31"/>
  <c r="P71" i="31" s="1"/>
  <c r="L184" i="31"/>
  <c r="M184" i="31" s="1"/>
  <c r="L259" i="31"/>
  <c r="M259" i="31" s="1"/>
  <c r="L94" i="31"/>
  <c r="P94" i="31" s="1"/>
  <c r="L37" i="31"/>
  <c r="P37" i="31" s="1"/>
  <c r="L197" i="31"/>
  <c r="M197" i="31" s="1"/>
  <c r="L273" i="31"/>
  <c r="M273" i="31" s="1"/>
  <c r="L237" i="31"/>
  <c r="M237" i="31" s="1"/>
  <c r="L164" i="31"/>
  <c r="M164" i="31" s="1"/>
  <c r="L52" i="31"/>
  <c r="M52" i="31" s="1"/>
  <c r="L221" i="31"/>
  <c r="M221" i="31" s="1"/>
  <c r="L174" i="31"/>
  <c r="M174" i="31" s="1"/>
  <c r="L78" i="31"/>
  <c r="P78" i="31" s="1"/>
  <c r="L231" i="31"/>
  <c r="M231" i="31" s="1"/>
  <c r="L95" i="31"/>
  <c r="P95" i="31" s="1"/>
  <c r="L270" i="31"/>
  <c r="M270" i="31" s="1"/>
  <c r="L61" i="31"/>
  <c r="P61" i="31" s="1"/>
  <c r="L36" i="31"/>
  <c r="P36" i="31" s="1"/>
  <c r="L27" i="31"/>
  <c r="P27" i="31" s="1"/>
  <c r="L232" i="31"/>
  <c r="M232" i="31" s="1"/>
  <c r="L210" i="31"/>
  <c r="M210" i="31" s="1"/>
  <c r="L127" i="31"/>
  <c r="M127" i="31" s="1"/>
  <c r="L35" i="31"/>
  <c r="P35" i="31" s="1"/>
  <c r="L280" i="31"/>
  <c r="M280" i="31" s="1"/>
  <c r="L119" i="31"/>
  <c r="M119" i="31" s="1"/>
  <c r="L295" i="31"/>
  <c r="M295" i="31" s="1"/>
  <c r="L225" i="31"/>
  <c r="M225" i="31" s="1"/>
  <c r="L272" i="31"/>
  <c r="M272" i="31" s="1"/>
  <c r="L179" i="31"/>
  <c r="M179" i="31" s="1"/>
  <c r="L32" i="31"/>
  <c r="M32" i="31" s="1"/>
  <c r="L159" i="31"/>
  <c r="M159" i="31" s="1"/>
  <c r="L55" i="31"/>
  <c r="P55" i="31" s="1"/>
  <c r="L176" i="31"/>
  <c r="M176" i="31" s="1"/>
  <c r="L25" i="31"/>
  <c r="P25" i="31" s="1"/>
  <c r="L243" i="31"/>
  <c r="M243" i="31" s="1"/>
  <c r="L97" i="31"/>
  <c r="P97" i="31" s="1"/>
  <c r="L228" i="31"/>
  <c r="M228" i="31" s="1"/>
  <c r="L77" i="31"/>
  <c r="P77" i="31" s="1"/>
  <c r="L21" i="31"/>
  <c r="P21" i="31" s="1"/>
  <c r="L180" i="31"/>
  <c r="M180" i="31" s="1"/>
  <c r="L269" i="31"/>
  <c r="M269" i="31" s="1"/>
  <c r="L211" i="31"/>
  <c r="M211" i="31" s="1"/>
  <c r="L216" i="31"/>
  <c r="M216" i="31" s="1"/>
  <c r="L170" i="31"/>
  <c r="M170" i="31" s="1"/>
  <c r="L68" i="31"/>
  <c r="P68" i="31" s="1"/>
  <c r="L223" i="31"/>
  <c r="M223" i="31" s="1"/>
  <c r="L93" i="31"/>
  <c r="P93" i="31" s="1"/>
  <c r="L83" i="31"/>
  <c r="M83" i="31" s="1"/>
  <c r="L266" i="31"/>
  <c r="M266" i="31" s="1"/>
  <c r="L191" i="31"/>
  <c r="M191" i="31" s="1"/>
  <c r="L175" i="31"/>
  <c r="M175" i="31" s="1"/>
  <c r="L189" i="31"/>
  <c r="M189" i="31" s="1"/>
  <c r="L199" i="31"/>
  <c r="M199" i="31" s="1"/>
  <c r="L186" i="31"/>
  <c r="M186" i="31" s="1"/>
  <c r="L143" i="31"/>
  <c r="M143" i="31" s="1"/>
  <c r="L131" i="31"/>
  <c r="M131" i="31" s="1"/>
  <c r="L192" i="31"/>
  <c r="M192" i="31" s="1"/>
  <c r="L281" i="31"/>
  <c r="M281" i="31" s="1"/>
  <c r="L133" i="31"/>
  <c r="M133" i="31" s="1"/>
  <c r="L261" i="31"/>
  <c r="M261" i="31" s="1"/>
  <c r="L117" i="31"/>
  <c r="M117" i="31" s="1"/>
  <c r="L129" i="31"/>
  <c r="M129" i="31" s="1"/>
  <c r="L120" i="31"/>
  <c r="M120" i="31" s="1"/>
  <c r="L18" i="31"/>
  <c r="P18" i="31" s="1"/>
  <c r="L275" i="31"/>
  <c r="M275" i="31" s="1"/>
  <c r="L268" i="31"/>
  <c r="M268" i="31" s="1"/>
  <c r="L242" i="31"/>
  <c r="M242" i="31" s="1"/>
  <c r="L155" i="31"/>
  <c r="M155" i="31" s="1"/>
  <c r="L50" i="31"/>
  <c r="P50" i="31" s="1"/>
  <c r="L172" i="31"/>
  <c r="M172" i="31" s="1"/>
  <c r="L227" i="31"/>
  <c r="M227" i="31" s="1"/>
  <c r="L76" i="31"/>
  <c r="P76" i="31" s="1"/>
  <c r="L224" i="31"/>
  <c r="M224" i="31" s="1"/>
  <c r="L73" i="31"/>
  <c r="P73" i="31" s="1"/>
  <c r="L151" i="31"/>
  <c r="M151" i="31" s="1"/>
  <c r="L265" i="31"/>
  <c r="M265" i="31" s="1"/>
  <c r="L202" i="31"/>
  <c r="M202" i="31" s="1"/>
  <c r="L157" i="31"/>
  <c r="M157" i="31" s="1"/>
  <c r="L47" i="31"/>
  <c r="P47" i="31" s="1"/>
  <c r="L165" i="31"/>
  <c r="M165" i="31" s="1"/>
  <c r="L230" i="31"/>
  <c r="M230" i="31" s="1"/>
  <c r="L79" i="31"/>
  <c r="P79" i="31" s="1"/>
  <c r="L262" i="31"/>
  <c r="M262" i="31" s="1"/>
  <c r="L187" i="31"/>
  <c r="M187" i="31" s="1"/>
  <c r="L15" i="31"/>
  <c r="P15" i="31" s="1"/>
  <c r="L203" i="31"/>
  <c r="M203" i="31" s="1"/>
  <c r="L87" i="31"/>
  <c r="P87" i="31" s="1"/>
  <c r="L80" i="31"/>
  <c r="P80" i="31" s="1"/>
  <c r="L128" i="31"/>
  <c r="M128" i="31" s="1"/>
  <c r="L290" i="31"/>
  <c r="M290" i="31" s="1"/>
  <c r="L116" i="31"/>
  <c r="M116" i="31" s="1"/>
  <c r="L140" i="31"/>
  <c r="M140" i="31" s="1"/>
  <c r="L114" i="31"/>
  <c r="M114" i="31" s="1"/>
  <c r="L260" i="31"/>
  <c r="M260" i="31" s="1"/>
  <c r="L267" i="31"/>
  <c r="M267" i="31" s="1"/>
  <c r="L178" i="31"/>
  <c r="M178" i="31" s="1"/>
  <c r="L264" i="31"/>
  <c r="M264" i="31" s="1"/>
  <c r="L88" i="31"/>
  <c r="P88" i="31" s="1"/>
  <c r="L168" i="31"/>
  <c r="M168" i="31" s="1"/>
  <c r="L99" i="31"/>
  <c r="P99" i="31" s="1"/>
  <c r="L229" i="31"/>
  <c r="M229" i="31" s="1"/>
  <c r="L96" i="31"/>
  <c r="P96" i="31" s="1"/>
  <c r="L218" i="31"/>
  <c r="M218" i="31" s="1"/>
  <c r="L91" i="31"/>
  <c r="P91" i="31" s="1"/>
  <c r="L198" i="31"/>
  <c r="M198" i="31" s="1"/>
  <c r="L92" i="31"/>
  <c r="P92" i="31" s="1"/>
  <c r="L43" i="31"/>
  <c r="P43" i="31" s="1"/>
  <c r="L222" i="31"/>
  <c r="M222" i="31" s="1"/>
  <c r="L201" i="31"/>
  <c r="M201" i="31" s="1"/>
  <c r="L196" i="31"/>
  <c r="M196" i="31" s="1"/>
  <c r="L249" i="31"/>
  <c r="M249" i="31" s="1"/>
  <c r="O323" i="23"/>
  <c r="R324" i="23"/>
  <c r="T324" i="23" s="1"/>
  <c r="E79" i="24"/>
  <c r="O78" i="3"/>
  <c r="CF11" i="11"/>
  <c r="Q11" i="21"/>
  <c r="AC11" i="21" s="1"/>
  <c r="AC12" i="21" s="1"/>
  <c r="G80" i="24"/>
  <c r="J80" i="24" s="1"/>
  <c r="M80" i="24" s="1"/>
  <c r="O61" i="23" s="1"/>
  <c r="O178" i="23"/>
  <c r="R178" i="23" s="1"/>
  <c r="T178" i="23" s="1"/>
  <c r="F56" i="25" s="1"/>
  <c r="I20" i="34"/>
  <c r="M11" i="34"/>
  <c r="O300" i="23"/>
  <c r="O362" i="23" s="1"/>
  <c r="O140" i="1"/>
  <c r="P301" i="23"/>
  <c r="R315" i="23"/>
  <c r="T315" i="23" s="1"/>
  <c r="K271" i="31" s="1"/>
  <c r="R242" i="23"/>
  <c r="R241" i="23" s="1"/>
  <c r="O241" i="23"/>
  <c r="O181" i="23" s="1"/>
  <c r="O361" i="23" s="1"/>
  <c r="U232" i="1"/>
  <c r="CT11" i="11"/>
  <c r="Y9" i="35"/>
  <c r="M144" i="1"/>
  <c r="BY25" i="11"/>
  <c r="BA25" i="11"/>
  <c r="H4" i="4"/>
  <c r="J18" i="4"/>
  <c r="L18" i="4"/>
  <c r="N18" i="4" s="1"/>
  <c r="J28" i="10"/>
  <c r="M99" i="24"/>
  <c r="K181" i="23"/>
  <c r="K361" i="23" s="1"/>
  <c r="W18" i="35"/>
  <c r="Y18" i="35" s="1"/>
  <c r="M21" i="35"/>
  <c r="K300" i="23"/>
  <c r="K362" i="23" s="1"/>
  <c r="O18" i="35"/>
  <c r="AB18" i="35"/>
  <c r="AG18" i="35" s="1"/>
  <c r="AI18" i="35" s="1"/>
  <c r="I4" i="4"/>
  <c r="Y7" i="35"/>
  <c r="J12" i="4"/>
  <c r="L12" i="4"/>
  <c r="N12" i="4" s="1"/>
  <c r="J13" i="4"/>
  <c r="L13" i="4"/>
  <c r="N13" i="4" s="1"/>
  <c r="M238" i="1" s="1"/>
  <c r="CP23" i="11"/>
  <c r="W10" i="33"/>
  <c r="J15" i="4"/>
  <c r="L15" i="4"/>
  <c r="N15" i="4" s="1"/>
  <c r="J16" i="4"/>
  <c r="L16" i="4"/>
  <c r="N16" i="4" s="1"/>
  <c r="I360" i="23"/>
  <c r="T12" i="15"/>
  <c r="U202" i="1"/>
  <c r="U201" i="1" s="1"/>
  <c r="I144" i="1"/>
  <c r="AI16" i="35"/>
  <c r="J20" i="34"/>
  <c r="N11" i="34"/>
  <c r="K11" i="34"/>
  <c r="W22" i="35"/>
  <c r="W23" i="35" s="1"/>
  <c r="W21" i="35"/>
  <c r="Y16" i="35"/>
  <c r="J21" i="4"/>
  <c r="L21" i="4"/>
  <c r="N21" i="4" s="1"/>
  <c r="K7" i="4"/>
  <c r="L20" i="4"/>
  <c r="N20" i="4" s="1"/>
  <c r="J20" i="4"/>
  <c r="T19" i="12"/>
  <c r="R75" i="1"/>
  <c r="J22" i="4"/>
  <c r="L22" i="4"/>
  <c r="N22" i="4" s="1"/>
  <c r="J45" i="26"/>
  <c r="N20" i="26"/>
  <c r="AN25" i="11"/>
  <c r="K19" i="34"/>
  <c r="O10" i="34"/>
  <c r="L10" i="34"/>
  <c r="K9" i="34"/>
  <c r="K18" i="34" s="1"/>
  <c r="K4" i="44"/>
  <c r="CK24" i="11"/>
  <c r="CQ24" i="11" s="1"/>
  <c r="CP28" i="11" s="1"/>
  <c r="J360" i="23"/>
  <c r="G23" i="42"/>
  <c r="E31" i="42"/>
  <c r="G32" i="42" s="1"/>
  <c r="J22" i="34"/>
  <c r="H18" i="33"/>
  <c r="H8" i="39" s="1"/>
  <c r="K16" i="33"/>
  <c r="S15" i="33"/>
  <c r="W15" i="33" s="1"/>
  <c r="AC19" i="35"/>
  <c r="AC21" i="35" s="1"/>
  <c r="S21" i="35"/>
  <c r="CR12" i="11"/>
  <c r="CR24" i="11" s="1"/>
  <c r="L23" i="4"/>
  <c r="N23" i="4" s="1"/>
  <c r="J23" i="4"/>
  <c r="I22" i="34"/>
  <c r="H349" i="23"/>
  <c r="K7" i="23"/>
  <c r="W101" i="3"/>
  <c r="W112" i="3"/>
  <c r="W115" i="3"/>
  <c r="W56" i="3"/>
  <c r="W55" i="3"/>
  <c r="W77" i="1"/>
  <c r="K16" i="39"/>
  <c r="N8" i="1"/>
  <c r="T345" i="23"/>
  <c r="F95" i="25" s="1"/>
  <c r="G83" i="30" s="1"/>
  <c r="O206" i="1"/>
  <c r="O205" i="1" s="1"/>
  <c r="F23" i="25"/>
  <c r="F22" i="30" s="1"/>
  <c r="O9" i="1"/>
  <c r="P144" i="1"/>
  <c r="P143" i="1" s="1"/>
  <c r="O34" i="1"/>
  <c r="M205" i="1"/>
  <c r="M300" i="23"/>
  <c r="M362" i="23" s="1"/>
  <c r="N144" i="1"/>
  <c r="N143" i="1" s="1"/>
  <c r="O49" i="1"/>
  <c r="M181" i="23"/>
  <c r="M361" i="23" s="1"/>
  <c r="O81" i="1"/>
  <c r="G9" i="9"/>
  <c r="M20" i="10"/>
  <c r="M28" i="10"/>
  <c r="J19" i="10"/>
  <c r="K8" i="10"/>
  <c r="K27" i="10" s="1"/>
  <c r="J7" i="10"/>
  <c r="J18" i="10" s="1"/>
  <c r="N8" i="10"/>
  <c r="J20" i="10"/>
  <c r="N9" i="10"/>
  <c r="N20" i="10" s="1"/>
  <c r="K9" i="10"/>
  <c r="K10" i="10" s="1"/>
  <c r="K21" i="10" s="1"/>
  <c r="H21" i="10"/>
  <c r="J10" i="10"/>
  <c r="J21" i="10" s="1"/>
  <c r="I10" i="10"/>
  <c r="I21" i="10" s="1"/>
  <c r="R13" i="3"/>
  <c r="U13" i="3" s="1"/>
  <c r="U210" i="1"/>
  <c r="G65" i="24"/>
  <c r="M65" i="24" s="1"/>
  <c r="O126" i="23" s="1"/>
  <c r="F312" i="6"/>
  <c r="O86" i="1"/>
  <c r="G67" i="24"/>
  <c r="M67" i="24" s="1"/>
  <c r="O127" i="23" s="1"/>
  <c r="O25" i="1"/>
  <c r="U78" i="3"/>
  <c r="U83" i="1"/>
  <c r="U12" i="1"/>
  <c r="O227" i="1"/>
  <c r="O173" i="1"/>
  <c r="F58" i="25"/>
  <c r="N48" i="8"/>
  <c r="N52" i="8" s="1"/>
  <c r="N53" i="8" s="1"/>
  <c r="P40" i="1" s="1"/>
  <c r="K105" i="31"/>
  <c r="K206" i="31"/>
  <c r="U38" i="1"/>
  <c r="N7" i="12"/>
  <c r="R7" i="3" s="1"/>
  <c r="T8" i="12"/>
  <c r="N47" i="8"/>
  <c r="N51" i="8" s="1"/>
  <c r="P42" i="1" s="1"/>
  <c r="AA50" i="8"/>
  <c r="G56" i="8"/>
  <c r="G58" i="8"/>
  <c r="G59" i="8" s="1"/>
  <c r="F37" i="8"/>
  <c r="J36" i="8"/>
  <c r="I36" i="8"/>
  <c r="H36" i="8"/>
  <c r="G36" i="8"/>
  <c r="H16" i="8"/>
  <c r="G16" i="8"/>
  <c r="J16" i="8"/>
  <c r="I16" i="8"/>
  <c r="F17" i="8"/>
  <c r="F69" i="8"/>
  <c r="F70" i="8" s="1"/>
  <c r="F79" i="25"/>
  <c r="F67" i="30" s="1"/>
  <c r="K194" i="31"/>
  <c r="U9" i="3"/>
  <c r="P181" i="23"/>
  <c r="P361" i="23" s="1"/>
  <c r="O90" i="1"/>
  <c r="Q8" i="1"/>
  <c r="F24" i="25"/>
  <c r="F23" i="30" s="1"/>
  <c r="F80" i="25"/>
  <c r="F68" i="30" s="1"/>
  <c r="F39" i="25"/>
  <c r="F35" i="30" s="1"/>
  <c r="J143" i="1"/>
  <c r="K161" i="31"/>
  <c r="K293" i="31"/>
  <c r="F21" i="25"/>
  <c r="F36" i="25"/>
  <c r="F32" i="30" s="1"/>
  <c r="O115" i="1"/>
  <c r="O223" i="1"/>
  <c r="O72" i="1"/>
  <c r="O39" i="1"/>
  <c r="U89" i="1"/>
  <c r="U41" i="1"/>
  <c r="U242" i="1"/>
  <c r="U98" i="1"/>
  <c r="F33" i="25"/>
  <c r="F29" i="30" s="1"/>
  <c r="O54" i="1"/>
  <c r="H208" i="6"/>
  <c r="Z10" i="11"/>
  <c r="CC23" i="11"/>
  <c r="CF23" i="11" s="1"/>
  <c r="AD25" i="11"/>
  <c r="AR25" i="11"/>
  <c r="BZ19" i="11"/>
  <c r="BZ25" i="11" s="1"/>
  <c r="E10" i="43"/>
  <c r="AT7" i="11"/>
  <c r="T25" i="11"/>
  <c r="AE23" i="11"/>
  <c r="CP12" i="11"/>
  <c r="CP24" i="11" s="1"/>
  <c r="BW10" i="11"/>
  <c r="CJ10" i="11"/>
  <c r="CK10" i="11" s="1"/>
  <c r="BX19" i="11"/>
  <c r="BX25" i="11" s="1"/>
  <c r="AZ9" i="11"/>
  <c r="BE9" i="11" s="1"/>
  <c r="BG9" i="11" s="1"/>
  <c r="AV9" i="11"/>
  <c r="BV9" i="11"/>
  <c r="AO23" i="11"/>
  <c r="CB12" i="11"/>
  <c r="CB24" i="11" s="1"/>
  <c r="AI22" i="11"/>
  <c r="AO22" i="11"/>
  <c r="AT22" i="11" s="1"/>
  <c r="AO21" i="11"/>
  <c r="AI21" i="11"/>
  <c r="BG8" i="11"/>
  <c r="BE20" i="11"/>
  <c r="AK8" i="11"/>
  <c r="AI20" i="11"/>
  <c r="AZ11" i="11"/>
  <c r="BE11" i="11" s="1"/>
  <c r="BG11" i="11" s="1"/>
  <c r="AV11" i="11"/>
  <c r="AQ25" i="11"/>
  <c r="BV20" i="11"/>
  <c r="AZ20" i="11"/>
  <c r="BI20" i="11"/>
  <c r="AV20" i="11"/>
  <c r="Z19" i="11"/>
  <c r="X25" i="11"/>
  <c r="BW8" i="11"/>
  <c r="CJ8" i="11"/>
  <c r="CK8" i="11" s="1"/>
  <c r="CA20" i="11"/>
  <c r="AS25" i="11"/>
  <c r="R347" i="23"/>
  <c r="R346" i="23" s="1"/>
  <c r="O31" i="1"/>
  <c r="U31" i="1" s="1"/>
  <c r="G69" i="24"/>
  <c r="M69" i="24" s="1"/>
  <c r="O128" i="23" s="1"/>
  <c r="R128" i="23" s="1"/>
  <c r="T128" i="23" s="1"/>
  <c r="K109" i="31" s="1"/>
  <c r="G19" i="6"/>
  <c r="L16" i="6"/>
  <c r="M3" i="6"/>
  <c r="O160" i="1"/>
  <c r="G73" i="24"/>
  <c r="M73" i="24" s="1"/>
  <c r="O149" i="23" s="1"/>
  <c r="R149" i="23" s="1"/>
  <c r="T149" i="23" s="1"/>
  <c r="K126" i="31" s="1"/>
  <c r="Q144" i="1"/>
  <c r="G79" i="24"/>
  <c r="J79" i="24" s="1"/>
  <c r="K48" i="31"/>
  <c r="F83" i="25"/>
  <c r="F71" i="30" s="1"/>
  <c r="K250" i="31"/>
  <c r="K81" i="31"/>
  <c r="F66" i="25"/>
  <c r="F58" i="30" s="1"/>
  <c r="R205" i="1"/>
  <c r="K65" i="31"/>
  <c r="P71" i="1"/>
  <c r="S7" i="12"/>
  <c r="T7" i="12"/>
  <c r="P27" i="3"/>
  <c r="N12" i="12"/>
  <c r="R42" i="1"/>
  <c r="N10" i="12"/>
  <c r="T9" i="12"/>
  <c r="S9" i="12"/>
  <c r="R27" i="3"/>
  <c r="F28" i="25"/>
  <c r="F26" i="30" s="1"/>
  <c r="S71" i="1"/>
  <c r="N71" i="1"/>
  <c r="N7" i="1" s="1"/>
  <c r="S144" i="1"/>
  <c r="S143" i="1" s="1"/>
  <c r="S8" i="1"/>
  <c r="K219" i="31"/>
  <c r="F15" i="25"/>
  <c r="F14" i="30" s="1"/>
  <c r="F11" i="25"/>
  <c r="F10" i="30" s="1"/>
  <c r="K29" i="31"/>
  <c r="J7" i="1"/>
  <c r="F65" i="25"/>
  <c r="F57" i="30" s="1"/>
  <c r="F92" i="25"/>
  <c r="F80" i="30" s="1"/>
  <c r="F25" i="25"/>
  <c r="F24" i="30" s="1"/>
  <c r="Q300" i="23"/>
  <c r="Q362" i="23" s="1"/>
  <c r="K286" i="31"/>
  <c r="T205" i="1"/>
  <c r="F62" i="25"/>
  <c r="F55" i="30" s="1"/>
  <c r="N300" i="23"/>
  <c r="F74" i="25"/>
  <c r="F64" i="30" s="1"/>
  <c r="P300" i="23"/>
  <c r="P362" i="23" s="1"/>
  <c r="T352" i="23"/>
  <c r="K306" i="31" s="1"/>
  <c r="L306" i="31" s="1"/>
  <c r="K9" i="31"/>
  <c r="K190" i="31"/>
  <c r="Q181" i="23"/>
  <c r="Q361" i="23" s="1"/>
  <c r="K247" i="31"/>
  <c r="T144" i="1"/>
  <c r="F81" i="25"/>
  <c r="F69" i="30" s="1"/>
  <c r="G107" i="17"/>
  <c r="F16" i="25"/>
  <c r="F15" i="30" s="1"/>
  <c r="N181" i="23"/>
  <c r="N361" i="23" s="1"/>
  <c r="F37" i="25"/>
  <c r="F33" i="30" s="1"/>
  <c r="F57" i="25"/>
  <c r="F31" i="25"/>
  <c r="L151" i="22"/>
  <c r="J151" i="22" s="1"/>
  <c r="U49" i="1"/>
  <c r="F72" i="25"/>
  <c r="F61" i="30" s="1"/>
  <c r="K234" i="31"/>
  <c r="K44" i="31"/>
  <c r="L44" i="31" s="1"/>
  <c r="F20" i="25"/>
  <c r="F20" i="30" s="1"/>
  <c r="K183" i="31"/>
  <c r="M7" i="23"/>
  <c r="M360" i="23" s="1"/>
  <c r="R182" i="23"/>
  <c r="T176" i="23"/>
  <c r="K147" i="31" s="1"/>
  <c r="L147" i="31" s="1"/>
  <c r="F71" i="25"/>
  <c r="F63" i="30" s="1"/>
  <c r="K209" i="31"/>
  <c r="F82" i="25"/>
  <c r="F70" i="30" s="1"/>
  <c r="T8" i="1"/>
  <c r="K144" i="31"/>
  <c r="T71" i="1"/>
  <c r="F35" i="25"/>
  <c r="F31" i="30" s="1"/>
  <c r="V304" i="23"/>
  <c r="F87" i="25"/>
  <c r="U140" i="1"/>
  <c r="K302" i="31"/>
  <c r="L302" i="31" s="1"/>
  <c r="L301" i="31" s="1"/>
  <c r="L300" i="31" s="1"/>
  <c r="T347" i="23"/>
  <c r="T346" i="23" s="1"/>
  <c r="H107" i="17"/>
  <c r="K154" i="31"/>
  <c r="L154" i="31" s="1"/>
  <c r="T182" i="23"/>
  <c r="K125" i="31"/>
  <c r="K110" i="31"/>
  <c r="F46" i="25"/>
  <c r="F42" i="30" s="1"/>
  <c r="K279" i="31"/>
  <c r="L279" i="31" s="1"/>
  <c r="F90" i="25"/>
  <c r="T323" i="23"/>
  <c r="V324" i="23"/>
  <c r="K121" i="31"/>
  <c r="F50" i="25"/>
  <c r="F46" i="30" s="1"/>
  <c r="M8" i="1"/>
  <c r="R323" i="23"/>
  <c r="K299" i="31"/>
  <c r="L299" i="31" s="1"/>
  <c r="L298" i="31" s="1"/>
  <c r="L297" i="31" s="1"/>
  <c r="U211" i="1"/>
  <c r="U206" i="1"/>
  <c r="F22" i="24"/>
  <c r="G22" i="24" s="1"/>
  <c r="J22" i="24" s="1"/>
  <c r="J354" i="23"/>
  <c r="J353" i="23" s="1"/>
  <c r="J5" i="23"/>
  <c r="K145" i="31"/>
  <c r="L145" i="31" s="1"/>
  <c r="F52" i="25"/>
  <c r="F48" i="30" s="1"/>
  <c r="K130" i="31"/>
  <c r="F54" i="25"/>
  <c r="F49" i="30" s="1"/>
  <c r="U203" i="1"/>
  <c r="W204" i="1"/>
  <c r="G90" i="17"/>
  <c r="AD9" i="16"/>
  <c r="AE9" i="16" s="1"/>
  <c r="AD6" i="16"/>
  <c r="AE6" i="16" s="1"/>
  <c r="K136" i="31"/>
  <c r="F53" i="25"/>
  <c r="K118" i="31"/>
  <c r="F49" i="25"/>
  <c r="F45" i="30" s="1"/>
  <c r="M63" i="31"/>
  <c r="E18" i="24"/>
  <c r="I8" i="1"/>
  <c r="K258" i="31"/>
  <c r="L258" i="31" s="1"/>
  <c r="F86" i="25"/>
  <c r="U215" i="1"/>
  <c r="X6" i="16"/>
  <c r="Y6" i="16" s="1"/>
  <c r="N362" i="23" l="1"/>
  <c r="T242" i="23"/>
  <c r="K149" i="31"/>
  <c r="L149" i="31" s="1"/>
  <c r="M149" i="31" s="1"/>
  <c r="M101" i="31"/>
  <c r="M36" i="31"/>
  <c r="M75" i="31"/>
  <c r="M25" i="31"/>
  <c r="M88" i="31"/>
  <c r="M41" i="31"/>
  <c r="M15" i="31"/>
  <c r="M47" i="31"/>
  <c r="M71" i="31"/>
  <c r="M84" i="31"/>
  <c r="M43" i="31"/>
  <c r="M96" i="31"/>
  <c r="M79" i="31"/>
  <c r="M54" i="31"/>
  <c r="M21" i="31"/>
  <c r="M100" i="31"/>
  <c r="M39" i="31"/>
  <c r="M93" i="31"/>
  <c r="M77" i="31"/>
  <c r="M95" i="31"/>
  <c r="M92" i="31"/>
  <c r="M73" i="31"/>
  <c r="M27" i="31"/>
  <c r="M82" i="31"/>
  <c r="M89" i="31"/>
  <c r="M28" i="31"/>
  <c r="M87" i="31"/>
  <c r="M50" i="31"/>
  <c r="M35" i="31"/>
  <c r="M37" i="31"/>
  <c r="M42" i="31"/>
  <c r="M68" i="31"/>
  <c r="M78" i="31"/>
  <c r="M61" i="31"/>
  <c r="M49" i="31"/>
  <c r="M86" i="31"/>
  <c r="M26" i="31"/>
  <c r="M40" i="31"/>
  <c r="L125" i="31"/>
  <c r="M125" i="31" s="1"/>
  <c r="L234" i="31"/>
  <c r="M234" i="31" s="1"/>
  <c r="P306" i="31"/>
  <c r="L305" i="31"/>
  <c r="L304" i="31" s="1"/>
  <c r="L144" i="31"/>
  <c r="M144" i="31" s="1"/>
  <c r="L9" i="31"/>
  <c r="L81" i="31"/>
  <c r="M81" i="31" s="1"/>
  <c r="M104" i="31"/>
  <c r="M45" i="31"/>
  <c r="L110" i="31"/>
  <c r="M110" i="31" s="1"/>
  <c r="L118" i="31"/>
  <c r="M118" i="31" s="1"/>
  <c r="L250" i="31"/>
  <c r="M250" i="31" s="1"/>
  <c r="L206" i="31"/>
  <c r="M206" i="31" s="1"/>
  <c r="L247" i="31"/>
  <c r="M247" i="31" s="1"/>
  <c r="L29" i="31"/>
  <c r="M29" i="31" s="1"/>
  <c r="L293" i="31"/>
  <c r="M293" i="31" s="1"/>
  <c r="L105" i="31"/>
  <c r="P105" i="31" s="1"/>
  <c r="M91" i="31"/>
  <c r="M99" i="31"/>
  <c r="M80" i="31"/>
  <c r="M76" i="31"/>
  <c r="M18" i="31"/>
  <c r="M97" i="31"/>
  <c r="M55" i="31"/>
  <c r="M94" i="31"/>
  <c r="M74" i="31"/>
  <c r="M23" i="31"/>
  <c r="M38" i="31"/>
  <c r="M19" i="31"/>
  <c r="M51" i="31"/>
  <c r="M90" i="31"/>
  <c r="M103" i="31"/>
  <c r="M53" i="31"/>
  <c r="L183" i="31"/>
  <c r="M183" i="31" s="1"/>
  <c r="L48" i="31"/>
  <c r="P48" i="31" s="1"/>
  <c r="L109" i="31"/>
  <c r="M109" i="31" s="1"/>
  <c r="L161" i="31"/>
  <c r="M161" i="31" s="1"/>
  <c r="L136" i="31"/>
  <c r="M136" i="31" s="1"/>
  <c r="L190" i="31"/>
  <c r="M190" i="31" s="1"/>
  <c r="L286" i="31"/>
  <c r="L278" i="31" s="1"/>
  <c r="L271" i="31"/>
  <c r="M271" i="31" s="1"/>
  <c r="M56" i="31"/>
  <c r="M34" i="31"/>
  <c r="M14" i="31"/>
  <c r="M85" i="31"/>
  <c r="M60" i="31"/>
  <c r="M24" i="31"/>
  <c r="M98" i="31"/>
  <c r="L257" i="31"/>
  <c r="L219" i="31"/>
  <c r="M219" i="31" s="1"/>
  <c r="L65" i="31"/>
  <c r="L194" i="31"/>
  <c r="M194" i="31" s="1"/>
  <c r="L130" i="31"/>
  <c r="M130" i="31" s="1"/>
  <c r="M44" i="31"/>
  <c r="L121" i="31"/>
  <c r="M121" i="31" s="1"/>
  <c r="L209" i="31"/>
  <c r="M209" i="31" s="1"/>
  <c r="L126" i="31"/>
  <c r="M126" i="31" s="1"/>
  <c r="Q12" i="21"/>
  <c r="N50" i="8"/>
  <c r="M143" i="1"/>
  <c r="M239" i="1"/>
  <c r="R301" i="23"/>
  <c r="R300" i="23" s="1"/>
  <c r="R362" i="23" s="1"/>
  <c r="T301" i="23"/>
  <c r="T300" i="23" s="1"/>
  <c r="T362" i="23" s="1"/>
  <c r="O177" i="23"/>
  <c r="E81" i="24"/>
  <c r="O10" i="23"/>
  <c r="R61" i="23"/>
  <c r="T61" i="23" s="1"/>
  <c r="J4" i="4"/>
  <c r="I8" i="39"/>
  <c r="H7" i="39"/>
  <c r="H15" i="39" s="1"/>
  <c r="K28" i="10"/>
  <c r="M226" i="1"/>
  <c r="M223" i="1" s="1"/>
  <c r="J22" i="10"/>
  <c r="K349" i="23"/>
  <c r="AB21" i="35"/>
  <c r="I7" i="1"/>
  <c r="I143" i="1"/>
  <c r="K20" i="34"/>
  <c r="O11" i="34"/>
  <c r="L11" i="34"/>
  <c r="K12" i="34"/>
  <c r="K21" i="34" s="1"/>
  <c r="CB27" i="11"/>
  <c r="H27" i="33"/>
  <c r="K18" i="33"/>
  <c r="K20" i="33"/>
  <c r="S17" i="33"/>
  <c r="AG19" i="35"/>
  <c r="K4" i="4"/>
  <c r="L7" i="4"/>
  <c r="L19" i="34"/>
  <c r="P10" i="34"/>
  <c r="L9" i="34"/>
  <c r="R72" i="1"/>
  <c r="R71" i="1" s="1"/>
  <c r="U75" i="1"/>
  <c r="K360" i="23"/>
  <c r="L109" i="22"/>
  <c r="AA56" i="3"/>
  <c r="AA115" i="3"/>
  <c r="W242" i="1"/>
  <c r="W241" i="1" s="1"/>
  <c r="L18" i="22"/>
  <c r="AC77" i="1"/>
  <c r="L157" i="22"/>
  <c r="AA112" i="3"/>
  <c r="T344" i="23"/>
  <c r="T343" i="23" s="1"/>
  <c r="AC204" i="1"/>
  <c r="L108" i="22"/>
  <c r="AA55" i="3"/>
  <c r="AA101" i="3"/>
  <c r="U9" i="1"/>
  <c r="U81" i="1"/>
  <c r="S7" i="1"/>
  <c r="U209" i="1"/>
  <c r="N28" i="10"/>
  <c r="N19" i="10"/>
  <c r="N27" i="10"/>
  <c r="K19" i="10"/>
  <c r="L8" i="10"/>
  <c r="O8" i="10"/>
  <c r="O19" i="10" s="1"/>
  <c r="L27" i="10"/>
  <c r="K7" i="10"/>
  <c r="K18" i="10" s="1"/>
  <c r="H10" i="9"/>
  <c r="S7" i="9" s="1"/>
  <c r="G10" i="9"/>
  <c r="G15" i="9" s="1"/>
  <c r="G16" i="9" s="1"/>
  <c r="H22" i="10"/>
  <c r="I22" i="10"/>
  <c r="K20" i="10"/>
  <c r="O9" i="10"/>
  <c r="L9" i="10"/>
  <c r="R40" i="1"/>
  <c r="R39" i="1" s="1"/>
  <c r="T12" i="12"/>
  <c r="S10" i="12"/>
  <c r="T10" i="12"/>
  <c r="U34" i="1"/>
  <c r="U241" i="1"/>
  <c r="O71" i="1"/>
  <c r="U86" i="1"/>
  <c r="F65" i="8"/>
  <c r="H35" i="8"/>
  <c r="H37" i="8"/>
  <c r="H38" i="8" s="1"/>
  <c r="I37" i="8"/>
  <c r="I38" i="8" s="1"/>
  <c r="I35" i="8"/>
  <c r="F18" i="8"/>
  <c r="F12" i="8" s="1"/>
  <c r="J37" i="8"/>
  <c r="J38" i="8" s="1"/>
  <c r="J35" i="8"/>
  <c r="I17" i="8"/>
  <c r="I18" i="8" s="1"/>
  <c r="I15" i="8"/>
  <c r="F38" i="8"/>
  <c r="F32" i="8" s="1"/>
  <c r="J17" i="8"/>
  <c r="J18" i="8" s="1"/>
  <c r="J15" i="8"/>
  <c r="G17" i="8"/>
  <c r="G18" i="8" s="1"/>
  <c r="G15" i="8"/>
  <c r="H17" i="8"/>
  <c r="H18" i="8" s="1"/>
  <c r="H15" i="8"/>
  <c r="G35" i="8"/>
  <c r="G37" i="8"/>
  <c r="G38" i="8" s="1"/>
  <c r="M349" i="23"/>
  <c r="F51" i="25"/>
  <c r="F47" i="30" s="1"/>
  <c r="T351" i="23"/>
  <c r="T350" i="23" s="1"/>
  <c r="V352" i="23"/>
  <c r="L145" i="45"/>
  <c r="M145" i="45" s="1"/>
  <c r="R151" i="22"/>
  <c r="U90" i="1"/>
  <c r="BG20" i="11"/>
  <c r="CO20" i="11" s="1"/>
  <c r="CJ20" i="11"/>
  <c r="AX21" i="11"/>
  <c r="AK21" i="11"/>
  <c r="CD10" i="11"/>
  <c r="CD22" i="11" s="1"/>
  <c r="BW22" i="11"/>
  <c r="CC22" i="11" s="1"/>
  <c r="CF22" i="11" s="1"/>
  <c r="CC10" i="11"/>
  <c r="CK20" i="11"/>
  <c r="CR8" i="11"/>
  <c r="CR20" i="11" s="1"/>
  <c r="CQ8" i="11"/>
  <c r="AT21" i="11"/>
  <c r="AO25" i="11"/>
  <c r="BW9" i="11"/>
  <c r="CJ9" i="11"/>
  <c r="CK9" i="11" s="1"/>
  <c r="BW20" i="11"/>
  <c r="CC20" i="11" s="1"/>
  <c r="CF20" i="11" s="1"/>
  <c r="CD8" i="11"/>
  <c r="CD20" i="11" s="1"/>
  <c r="CC8" i="11"/>
  <c r="AV22" i="11"/>
  <c r="BV22" i="11"/>
  <c r="AZ22" i="11"/>
  <c r="BE22" i="11" s="1"/>
  <c r="BG22" i="11" s="1"/>
  <c r="CO22" i="11" s="1"/>
  <c r="BI22" i="11"/>
  <c r="AP23" i="11"/>
  <c r="AP25" i="11" s="1"/>
  <c r="AE25" i="11"/>
  <c r="AK22" i="11"/>
  <c r="AX22" i="11"/>
  <c r="AX20" i="11"/>
  <c r="AI25" i="11"/>
  <c r="AI29" i="11" s="1"/>
  <c r="AK20" i="11"/>
  <c r="AZ7" i="11"/>
  <c r="BE7" i="11" s="1"/>
  <c r="AT19" i="11"/>
  <c r="AV7" i="11"/>
  <c r="BV7" i="11"/>
  <c r="AI23" i="11"/>
  <c r="CK22" i="11"/>
  <c r="CR10" i="11"/>
  <c r="CR22" i="11" s="1"/>
  <c r="CQ10" i="11"/>
  <c r="T143" i="1"/>
  <c r="M79" i="24"/>
  <c r="O110" i="23" s="1"/>
  <c r="O125" i="23"/>
  <c r="O145" i="1"/>
  <c r="U160" i="1"/>
  <c r="L3" i="6"/>
  <c r="F143" i="6"/>
  <c r="H19" i="6"/>
  <c r="G206" i="6"/>
  <c r="G3" i="6" s="1"/>
  <c r="U7" i="3"/>
  <c r="P39" i="1"/>
  <c r="P8" i="1" s="1"/>
  <c r="P7" i="1" s="1"/>
  <c r="U27" i="3"/>
  <c r="R28" i="3"/>
  <c r="P28" i="3"/>
  <c r="N58" i="8"/>
  <c r="U42" i="1"/>
  <c r="F54" i="30"/>
  <c r="F60" i="25"/>
  <c r="F60" i="30"/>
  <c r="T7" i="1"/>
  <c r="R181" i="23"/>
  <c r="R361" i="23" s="1"/>
  <c r="F69" i="25"/>
  <c r="M302" i="31"/>
  <c r="M301" i="31" s="1"/>
  <c r="M300" i="31" s="1"/>
  <c r="K301" i="31"/>
  <c r="K300" i="31" s="1"/>
  <c r="F18" i="24"/>
  <c r="G18" i="24" s="1"/>
  <c r="J18" i="24" s="1"/>
  <c r="I354" i="23"/>
  <c r="I353" i="23" s="1"/>
  <c r="I5" i="23"/>
  <c r="K278" i="31"/>
  <c r="M279" i="31"/>
  <c r="K305" i="31"/>
  <c r="M306" i="31"/>
  <c r="M147" i="31"/>
  <c r="J29" i="38"/>
  <c r="K257" i="31"/>
  <c r="M258" i="31"/>
  <c r="F75" i="30"/>
  <c r="F74" i="30" s="1"/>
  <c r="F85" i="25"/>
  <c r="K298" i="31"/>
  <c r="K297" i="31" s="1"/>
  <c r="M299" i="31"/>
  <c r="M298" i="31" s="1"/>
  <c r="M297" i="31" s="1"/>
  <c r="K205" i="31"/>
  <c r="L205" i="31" s="1"/>
  <c r="T241" i="23"/>
  <c r="T181" i="23" s="1"/>
  <c r="G27" i="26"/>
  <c r="R26" i="26" s="1"/>
  <c r="L67" i="22"/>
  <c r="W203" i="1"/>
  <c r="F78" i="30"/>
  <c r="F76" i="30" s="1"/>
  <c r="F88" i="25"/>
  <c r="K153" i="31"/>
  <c r="M154" i="31"/>
  <c r="U226" i="1" l="1"/>
  <c r="L204" i="31"/>
  <c r="M257" i="31"/>
  <c r="M105" i="31"/>
  <c r="L153" i="31"/>
  <c r="M286" i="31"/>
  <c r="M278" i="31" s="1"/>
  <c r="P65" i="31"/>
  <c r="M65" i="31"/>
  <c r="M48" i="31"/>
  <c r="M153" i="31"/>
  <c r="M9" i="31"/>
  <c r="L256" i="31"/>
  <c r="G81" i="24"/>
  <c r="J81" i="24" s="1"/>
  <c r="E86" i="24"/>
  <c r="R177" i="23"/>
  <c r="O175" i="23"/>
  <c r="CQ20" i="11"/>
  <c r="CT20" i="11" s="1"/>
  <c r="K58" i="31"/>
  <c r="F22" i="25"/>
  <c r="F21" i="30" s="1"/>
  <c r="K22" i="34"/>
  <c r="K8" i="39"/>
  <c r="I7" i="39"/>
  <c r="N7" i="4"/>
  <c r="L4" i="4"/>
  <c r="P11" i="34"/>
  <c r="L20" i="34"/>
  <c r="L12" i="34"/>
  <c r="U72" i="1"/>
  <c r="AI19" i="35"/>
  <c r="AG21" i="35"/>
  <c r="S18" i="33"/>
  <c r="W17" i="33"/>
  <c r="P9" i="34"/>
  <c r="L18" i="34"/>
  <c r="O9" i="34"/>
  <c r="N9" i="34"/>
  <c r="M9" i="34"/>
  <c r="H26" i="33"/>
  <c r="AC241" i="1"/>
  <c r="AC203" i="1"/>
  <c r="AC242" i="1"/>
  <c r="L15" i="45"/>
  <c r="M15" i="45" s="1"/>
  <c r="R18" i="22"/>
  <c r="J18" i="22"/>
  <c r="L151" i="45"/>
  <c r="M151" i="45" s="1"/>
  <c r="R157" i="22"/>
  <c r="J157" i="22"/>
  <c r="O32" i="31"/>
  <c r="P32" i="31" s="1"/>
  <c r="L103" i="45"/>
  <c r="M103" i="45" s="1"/>
  <c r="J108" i="22"/>
  <c r="R108" i="22"/>
  <c r="L104" i="45"/>
  <c r="M104" i="45" s="1"/>
  <c r="J109" i="22"/>
  <c r="R109" i="22"/>
  <c r="U40" i="1"/>
  <c r="O27" i="10"/>
  <c r="L20" i="10"/>
  <c r="F10" i="9" s="1"/>
  <c r="P9" i="10"/>
  <c r="L10" i="10"/>
  <c r="K22" i="10"/>
  <c r="O20" i="10"/>
  <c r="O28" i="10"/>
  <c r="L19" i="10"/>
  <c r="F9" i="9" s="1"/>
  <c r="L7" i="10"/>
  <c r="P8" i="10"/>
  <c r="I9" i="9"/>
  <c r="H9" i="9"/>
  <c r="H15" i="9" s="1"/>
  <c r="H16" i="9" s="1"/>
  <c r="L28" i="10"/>
  <c r="CR9" i="11"/>
  <c r="CR21" i="11" s="1"/>
  <c r="CQ9" i="11"/>
  <c r="CK21" i="11"/>
  <c r="CF10" i="11"/>
  <c r="CB10" i="11"/>
  <c r="CB22" i="11" s="1"/>
  <c r="CD9" i="11"/>
  <c r="CD21" i="11" s="1"/>
  <c r="CC9" i="11"/>
  <c r="BW21" i="11"/>
  <c r="AX23" i="11"/>
  <c r="AK23" i="11"/>
  <c r="BV19" i="11"/>
  <c r="CJ7" i="11"/>
  <c r="CK7" i="11" s="1"/>
  <c r="BW7" i="11"/>
  <c r="CJ22" i="11"/>
  <c r="CQ22" i="11" s="1"/>
  <c r="CT22" i="11" s="1"/>
  <c r="BU22" i="11"/>
  <c r="CI22" i="11" s="1"/>
  <c r="AZ21" i="11"/>
  <c r="BE21" i="11" s="1"/>
  <c r="BG21" i="11" s="1"/>
  <c r="CO21" i="11" s="1"/>
  <c r="BI21" i="11"/>
  <c r="AV21" i="11"/>
  <c r="BV21" i="11"/>
  <c r="AT23" i="11"/>
  <c r="CP8" i="11"/>
  <c r="CP20" i="11" s="1"/>
  <c r="CT8" i="11"/>
  <c r="AZ19" i="11"/>
  <c r="BI19" i="11"/>
  <c r="AV19" i="11"/>
  <c r="CF8" i="11"/>
  <c r="CB8" i="11"/>
  <c r="CB20" i="11" s="1"/>
  <c r="BG7" i="11"/>
  <c r="BE19" i="11"/>
  <c r="CT10" i="11"/>
  <c r="CP10" i="11"/>
  <c r="CP22" i="11" s="1"/>
  <c r="BU20" i="11"/>
  <c r="CI20" i="11" s="1"/>
  <c r="U145" i="1"/>
  <c r="O23" i="1"/>
  <c r="O74" i="23"/>
  <c r="R110" i="23"/>
  <c r="H143" i="6"/>
  <c r="O168" i="1" s="1"/>
  <c r="F206" i="6"/>
  <c r="F3" i="6" s="1"/>
  <c r="F59" i="25"/>
  <c r="I56" i="25" s="1"/>
  <c r="U28" i="3"/>
  <c r="G53" i="30"/>
  <c r="E41" i="24"/>
  <c r="N59" i="8"/>
  <c r="K256" i="31"/>
  <c r="F84" i="25"/>
  <c r="I81" i="25" s="1"/>
  <c r="M205" i="31"/>
  <c r="M204" i="31" s="1"/>
  <c r="K204" i="31"/>
  <c r="K152" i="31" s="1"/>
  <c r="R67" i="22"/>
  <c r="J67" i="22"/>
  <c r="L62" i="45"/>
  <c r="M62" i="45" s="1"/>
  <c r="K304" i="31"/>
  <c r="M304" i="31" s="1"/>
  <c r="M305" i="31"/>
  <c r="T361" i="23"/>
  <c r="J28" i="38"/>
  <c r="J38" i="38" s="1"/>
  <c r="K29" i="38"/>
  <c r="K28" i="38" s="1"/>
  <c r="G73" i="30"/>
  <c r="P28" i="10" l="1"/>
  <c r="L152" i="31"/>
  <c r="M152" i="31"/>
  <c r="M256" i="31"/>
  <c r="L58" i="31"/>
  <c r="M58" i="31" s="1"/>
  <c r="T177" i="23"/>
  <c r="R175" i="23"/>
  <c r="M81" i="24"/>
  <c r="M87" i="24" s="1"/>
  <c r="O9" i="23"/>
  <c r="O8" i="23" s="1"/>
  <c r="O7" i="23" s="1"/>
  <c r="K7" i="39"/>
  <c r="I15" i="39"/>
  <c r="K15" i="39" s="1"/>
  <c r="P27" i="10"/>
  <c r="CC21" i="11"/>
  <c r="CF21" i="11" s="1"/>
  <c r="M19" i="34"/>
  <c r="N19" i="34" s="1"/>
  <c r="O19" i="34" s="1"/>
  <c r="P19" i="34" s="1"/>
  <c r="N12" i="34"/>
  <c r="M12" i="34"/>
  <c r="L21" i="34"/>
  <c r="P12" i="34"/>
  <c r="O12" i="34"/>
  <c r="K26" i="33"/>
  <c r="S25" i="33"/>
  <c r="K28" i="33"/>
  <c r="N4" i="4"/>
  <c r="M130" i="1"/>
  <c r="M115" i="1" s="1"/>
  <c r="M71" i="1" s="1"/>
  <c r="M7" i="1" s="1"/>
  <c r="U39" i="1"/>
  <c r="F15" i="9"/>
  <c r="F16" i="9" s="1"/>
  <c r="M10" i="10"/>
  <c r="M21" i="10" s="1"/>
  <c r="G11" i="9" s="1"/>
  <c r="L21" i="10"/>
  <c r="P10" i="10"/>
  <c r="O10" i="10"/>
  <c r="O21" i="10" s="1"/>
  <c r="I11" i="9" s="1"/>
  <c r="N10" i="10"/>
  <c r="N21" i="10" s="1"/>
  <c r="H11" i="9" s="1"/>
  <c r="S9" i="9" s="1"/>
  <c r="I10" i="9"/>
  <c r="I15" i="9" s="1"/>
  <c r="I16" i="9" s="1"/>
  <c r="Q9" i="10"/>
  <c r="P20" i="10"/>
  <c r="J10" i="9" s="1"/>
  <c r="P19" i="10"/>
  <c r="J9" i="9" s="1"/>
  <c r="Q8" i="10"/>
  <c r="P7" i="10"/>
  <c r="O7" i="10"/>
  <c r="O18" i="10" s="1"/>
  <c r="N7" i="10"/>
  <c r="N18" i="10" s="1"/>
  <c r="M7" i="10"/>
  <c r="M18" i="10" s="1"/>
  <c r="L18" i="10"/>
  <c r="CB9" i="11"/>
  <c r="CB21" i="11" s="1"/>
  <c r="CF9" i="11"/>
  <c r="BG19" i="11"/>
  <c r="BD19" i="11"/>
  <c r="BD25" i="11" s="1"/>
  <c r="CD7" i="11"/>
  <c r="CC7" i="11"/>
  <c r="BW19" i="11"/>
  <c r="BW25" i="11" s="1"/>
  <c r="AZ23" i="11"/>
  <c r="BE23" i="11" s="1"/>
  <c r="BG23" i="11" s="1"/>
  <c r="CO23" i="11" s="1"/>
  <c r="CQ23" i="11" s="1"/>
  <c r="BI23" i="11"/>
  <c r="AV23" i="11"/>
  <c r="CK19" i="11"/>
  <c r="CK25" i="11" s="1"/>
  <c r="CR7" i="11"/>
  <c r="CR19" i="11" s="1"/>
  <c r="CQ7" i="11"/>
  <c r="BU21" i="11"/>
  <c r="CI21" i="11" s="1"/>
  <c r="CJ21" i="11"/>
  <c r="CQ21" i="11" s="1"/>
  <c r="CT21" i="11" s="1"/>
  <c r="BV25" i="11"/>
  <c r="CJ19" i="11"/>
  <c r="AT25" i="11"/>
  <c r="AT29" i="11" s="1"/>
  <c r="CT9" i="11"/>
  <c r="CP9" i="11"/>
  <c r="CP21" i="11" s="1"/>
  <c r="H3" i="6"/>
  <c r="U23" i="1"/>
  <c r="O14" i="1"/>
  <c r="O8" i="1" s="1"/>
  <c r="O7" i="1" s="1"/>
  <c r="U168" i="1"/>
  <c r="O166" i="1"/>
  <c r="O144" i="1" s="1"/>
  <c r="O143" i="1" s="1"/>
  <c r="I57" i="25"/>
  <c r="J53" i="30"/>
  <c r="T110" i="23"/>
  <c r="G41" i="24"/>
  <c r="J41" i="24" s="1"/>
  <c r="E48" i="24"/>
  <c r="J73" i="30"/>
  <c r="O360" i="23" l="1"/>
  <c r="O349" i="23"/>
  <c r="O5" i="23" s="1"/>
  <c r="F55" i="25"/>
  <c r="K148" i="31"/>
  <c r="L148" i="31" s="1"/>
  <c r="L146" i="31" s="1"/>
  <c r="T175" i="23"/>
  <c r="BU19" i="11"/>
  <c r="BZ34" i="11" s="1"/>
  <c r="M20" i="34"/>
  <c r="N20" i="34" s="1"/>
  <c r="O20" i="34" s="1"/>
  <c r="P20" i="34" s="1"/>
  <c r="L22" i="34"/>
  <c r="W23" i="33"/>
  <c r="S26" i="33"/>
  <c r="CJ25" i="11"/>
  <c r="M18" i="34"/>
  <c r="I7" i="9"/>
  <c r="T9" i="9"/>
  <c r="P18" i="10"/>
  <c r="E11" i="43"/>
  <c r="Q7" i="10"/>
  <c r="Q19" i="10"/>
  <c r="K9" i="9" s="1"/>
  <c r="R8" i="10"/>
  <c r="Q27" i="10"/>
  <c r="R27" i="10" s="1"/>
  <c r="P21" i="10"/>
  <c r="J11" i="9" s="1"/>
  <c r="Q10" i="10"/>
  <c r="E12" i="43"/>
  <c r="F11" i="9"/>
  <c r="L22" i="10"/>
  <c r="F7" i="9"/>
  <c r="M22" i="10"/>
  <c r="R9" i="10"/>
  <c r="Q28" i="10"/>
  <c r="Q20" i="10"/>
  <c r="G7" i="9"/>
  <c r="N22" i="10"/>
  <c r="H7" i="9"/>
  <c r="O22" i="10"/>
  <c r="CF7" i="11"/>
  <c r="CB7" i="11"/>
  <c r="BV34" i="11"/>
  <c r="CT7" i="11"/>
  <c r="CP7" i="11"/>
  <c r="CP19" i="11" s="1"/>
  <c r="CD19" i="11"/>
  <c r="BW34" i="11"/>
  <c r="CR25" i="11"/>
  <c r="CR26" i="11" s="1"/>
  <c r="N25" i="9"/>
  <c r="Q131" i="1" s="1"/>
  <c r="U131" i="1" s="1"/>
  <c r="BE25" i="11"/>
  <c r="BE29" i="11" s="1"/>
  <c r="BU25" i="11"/>
  <c r="CI19" i="11"/>
  <c r="CI25" i="11" s="1"/>
  <c r="CP27" i="11"/>
  <c r="CT23" i="11"/>
  <c r="AZ25" i="11"/>
  <c r="K102" i="31"/>
  <c r="L102" i="31" s="1"/>
  <c r="F32" i="25"/>
  <c r="F28" i="30" s="1"/>
  <c r="W168" i="1"/>
  <c r="U166" i="1"/>
  <c r="M41" i="24"/>
  <c r="N135" i="23" s="1"/>
  <c r="M148" i="31" l="1"/>
  <c r="M146" i="31" s="1"/>
  <c r="K146" i="31"/>
  <c r="N18" i="34"/>
  <c r="O18" i="34" s="1"/>
  <c r="P18" i="34" s="1"/>
  <c r="M21" i="34"/>
  <c r="AC168" i="1"/>
  <c r="E13" i="43"/>
  <c r="E16" i="43" s="1"/>
  <c r="R28" i="10"/>
  <c r="G12" i="9"/>
  <c r="AA19" i="10"/>
  <c r="Q21" i="10"/>
  <c r="K11" i="9" s="1"/>
  <c r="R10" i="10"/>
  <c r="G14" i="9"/>
  <c r="F12" i="9"/>
  <c r="F14" i="9" s="1"/>
  <c r="F4" i="9" s="1"/>
  <c r="H12" i="9"/>
  <c r="H14" i="9" s="1"/>
  <c r="S10" i="9" s="1"/>
  <c r="I12" i="9"/>
  <c r="I14" i="9" s="1"/>
  <c r="I4" i="9" s="1"/>
  <c r="K10" i="9"/>
  <c r="K15" i="9" s="1"/>
  <c r="K16" i="9" s="1"/>
  <c r="P22" i="10"/>
  <c r="R20" i="10"/>
  <c r="S9" i="10"/>
  <c r="Q18" i="10"/>
  <c r="R7" i="10"/>
  <c r="R19" i="10"/>
  <c r="S8" i="10"/>
  <c r="CA34" i="11"/>
  <c r="CD25" i="11"/>
  <c r="N24" i="9"/>
  <c r="CP25" i="11"/>
  <c r="CQ19" i="11"/>
  <c r="BU34" i="11"/>
  <c r="BV35" i="11" s="1"/>
  <c r="CB19" i="11"/>
  <c r="M102" i="31"/>
  <c r="R135" i="23"/>
  <c r="N125" i="23"/>
  <c r="S28" i="10" l="1"/>
  <c r="N21" i="34"/>
  <c r="M22" i="34"/>
  <c r="G4" i="9"/>
  <c r="T10" i="9"/>
  <c r="S6" i="9"/>
  <c r="K7" i="9"/>
  <c r="J12" i="9"/>
  <c r="S20" i="10"/>
  <c r="H4" i="9"/>
  <c r="S10" i="10"/>
  <c r="T9" i="10" s="1"/>
  <c r="R21" i="10"/>
  <c r="T8" i="10"/>
  <c r="S19" i="10"/>
  <c r="S27" i="10"/>
  <c r="Q22" i="10"/>
  <c r="M150" i="44" s="1"/>
  <c r="S7" i="10"/>
  <c r="R18" i="10"/>
  <c r="CC19" i="11"/>
  <c r="CB25" i="11"/>
  <c r="CP29" i="11"/>
  <c r="CP30" i="11" s="1"/>
  <c r="CO19" i="11"/>
  <c r="CT19" i="11"/>
  <c r="CQ25" i="11"/>
  <c r="Q130" i="1"/>
  <c r="T135" i="23"/>
  <c r="R22" i="10" l="1"/>
  <c r="T28" i="10"/>
  <c r="T19" i="10"/>
  <c r="N9" i="9" s="1"/>
  <c r="E31" i="24" s="1"/>
  <c r="O21" i="34"/>
  <c r="P21" i="34" s="1"/>
  <c r="N22" i="34"/>
  <c r="T20" i="10"/>
  <c r="N10" i="9" s="1"/>
  <c r="Q12" i="9"/>
  <c r="J14" i="9"/>
  <c r="J4" i="9" s="1"/>
  <c r="T10" i="10"/>
  <c r="S21" i="10"/>
  <c r="R17" i="10"/>
  <c r="Q53" i="3"/>
  <c r="T7" i="10"/>
  <c r="S18" i="10"/>
  <c r="S17" i="10" s="1"/>
  <c r="K12" i="9"/>
  <c r="K14" i="9" s="1"/>
  <c r="K4" i="9" s="1"/>
  <c r="T27" i="10"/>
  <c r="N30" i="9"/>
  <c r="CO25" i="11"/>
  <c r="CC34" i="11"/>
  <c r="CB34" i="11" s="1"/>
  <c r="CB29" i="11"/>
  <c r="CB30" i="11" s="1"/>
  <c r="CA19" i="11"/>
  <c r="CA25" i="11" s="1"/>
  <c r="CC25" i="11"/>
  <c r="CF19" i="11"/>
  <c r="U130" i="1"/>
  <c r="F47" i="25"/>
  <c r="K115" i="31"/>
  <c r="L115" i="31" s="1"/>
  <c r="T23" i="10" l="1"/>
  <c r="N19" i="9" s="1"/>
  <c r="T24" i="10"/>
  <c r="N18" i="9" s="1"/>
  <c r="Q138" i="1" s="1"/>
  <c r="U138" i="1" s="1"/>
  <c r="W138" i="1" s="1"/>
  <c r="AC138" i="1" s="1"/>
  <c r="S22" i="10"/>
  <c r="T21" i="10"/>
  <c r="N11" i="9" s="1"/>
  <c r="Q104" i="3"/>
  <c r="U104" i="3" s="1"/>
  <c r="N15" i="9"/>
  <c r="N16" i="9" s="1"/>
  <c r="T18" i="10"/>
  <c r="T22" i="10" s="1"/>
  <c r="U53" i="3"/>
  <c r="G31" i="24"/>
  <c r="J31" i="24" s="1"/>
  <c r="P30" i="9"/>
  <c r="U9" i="16" s="1"/>
  <c r="N26" i="9"/>
  <c r="M115" i="31"/>
  <c r="F43" i="30"/>
  <c r="E33" i="24" l="1"/>
  <c r="G33" i="24" s="1"/>
  <c r="J33" i="24" s="1"/>
  <c r="M33" i="24" s="1"/>
  <c r="N33" i="23" s="1"/>
  <c r="R33" i="23" s="1"/>
  <c r="T33" i="23" s="1"/>
  <c r="F26" i="25" s="1"/>
  <c r="F25" i="30" s="1"/>
  <c r="N20" i="9"/>
  <c r="N21" i="9"/>
  <c r="G32" i="24"/>
  <c r="J32" i="24" s="1"/>
  <c r="M32" i="24" s="1"/>
  <c r="N62" i="23" s="1"/>
  <c r="R62" i="23" s="1"/>
  <c r="T62" i="23" s="1"/>
  <c r="K59" i="31" s="1"/>
  <c r="Q122" i="3"/>
  <c r="U122" i="3" s="1"/>
  <c r="M31" i="24"/>
  <c r="N12" i="23" s="1"/>
  <c r="T17" i="10"/>
  <c r="N8" i="9" s="1"/>
  <c r="U12" i="16"/>
  <c r="K33" i="31" l="1"/>
  <c r="L33" i="31" s="1"/>
  <c r="M33" i="31" s="1"/>
  <c r="Q214" i="1"/>
  <c r="U214" i="1" s="1"/>
  <c r="E37" i="24"/>
  <c r="L59" i="31"/>
  <c r="M59" i="31" s="1"/>
  <c r="F10" i="25"/>
  <c r="F9" i="30" s="1"/>
  <c r="R12" i="23"/>
  <c r="N12" i="9"/>
  <c r="M156" i="44"/>
  <c r="Q213" i="1" l="1"/>
  <c r="Q205" i="1" s="1"/>
  <c r="Q143" i="1" s="1"/>
  <c r="U213" i="1"/>
  <c r="U205" i="1" s="1"/>
  <c r="V9" i="16"/>
  <c r="T12" i="23"/>
  <c r="Q137" i="1"/>
  <c r="Q239" i="1"/>
  <c r="Q235" i="1"/>
  <c r="Q227" i="1" s="1"/>
  <c r="N4" i="9" l="1"/>
  <c r="V12" i="16"/>
  <c r="W9" i="16"/>
  <c r="U239" i="1"/>
  <c r="U137" i="1"/>
  <c r="Q115" i="1"/>
  <c r="Q71" i="1" s="1"/>
  <c r="Q7" i="1" s="1"/>
  <c r="K10" i="31"/>
  <c r="L10" i="31" s="1"/>
  <c r="F13" i="25"/>
  <c r="W137" i="1" l="1"/>
  <c r="U115" i="1"/>
  <c r="F12" i="30"/>
  <c r="M10" i="31"/>
  <c r="X9" i="16"/>
  <c r="AC137" i="1" l="1"/>
  <c r="U71" i="1"/>
  <c r="Y9" i="16"/>
  <c r="R25" i="1" l="1"/>
  <c r="U25" i="1" s="1"/>
  <c r="N18" i="12"/>
  <c r="S18" i="12" s="1"/>
  <c r="T18" i="12" l="1"/>
  <c r="N17" i="12"/>
  <c r="T17" i="12" s="1"/>
  <c r="E117" i="24"/>
  <c r="R17" i="1" l="1"/>
  <c r="S17" i="12"/>
  <c r="G117" i="24"/>
  <c r="J117" i="24" s="1"/>
  <c r="R14" i="1" l="1"/>
  <c r="U17" i="1"/>
  <c r="M117" i="24"/>
  <c r="Q126" i="23" s="1"/>
  <c r="Q127" i="23"/>
  <c r="R127" i="23" s="1"/>
  <c r="T127" i="23" s="1"/>
  <c r="U14" i="1" l="1"/>
  <c r="K108" i="31"/>
  <c r="F45" i="25"/>
  <c r="F41" i="30" s="1"/>
  <c r="R126" i="23"/>
  <c r="Q125" i="23"/>
  <c r="L108" i="31" l="1"/>
  <c r="M108" i="31" s="1"/>
  <c r="T126" i="23"/>
  <c r="R125" i="23"/>
  <c r="F44" i="25" l="1"/>
  <c r="T125" i="23"/>
  <c r="K107" i="31"/>
  <c r="L107" i="31" s="1"/>
  <c r="L106" i="31" s="1"/>
  <c r="M107" i="31" l="1"/>
  <c r="M106" i="31" s="1"/>
  <c r="K106" i="31"/>
  <c r="F40" i="30"/>
  <c r="F39" i="30" s="1"/>
  <c r="F43" i="25"/>
  <c r="V125" i="23" l="1"/>
  <c r="I41" i="25"/>
  <c r="N6" i="3" l="1"/>
  <c r="N26" i="3"/>
  <c r="N37" i="3"/>
  <c r="N76" i="3"/>
  <c r="N86" i="3"/>
  <c r="N98" i="3"/>
  <c r="J369" i="23"/>
  <c r="J6" i="3"/>
  <c r="J26" i="3"/>
  <c r="K369" i="23"/>
  <c r="H369" i="23"/>
  <c r="J113" i="3"/>
  <c r="J103" i="3"/>
  <c r="J98" i="3"/>
  <c r="J86" i="3"/>
  <c r="J76" i="3"/>
  <c r="J37" i="3"/>
  <c r="J377" i="23"/>
  <c r="I121" i="3"/>
  <c r="P121" i="3"/>
  <c r="O98" i="3"/>
  <c r="O86" i="3"/>
  <c r="O76" i="3"/>
  <c r="O37" i="3"/>
  <c r="O26" i="3"/>
  <c r="O6" i="3"/>
  <c r="M98" i="3"/>
  <c r="M86" i="3"/>
  <c r="M76" i="3"/>
  <c r="M37" i="3"/>
  <c r="M26" i="3"/>
  <c r="M6" i="3"/>
  <c r="Q121" i="3"/>
  <c r="P98" i="3"/>
  <c r="P86" i="3"/>
  <c r="P76" i="3"/>
  <c r="P37" i="3"/>
  <c r="P26" i="3"/>
  <c r="P6" i="3"/>
  <c r="T98" i="3"/>
  <c r="T86" i="3"/>
  <c r="T76" i="3"/>
  <c r="T37" i="3"/>
  <c r="T26" i="3"/>
  <c r="T6" i="3"/>
  <c r="I372" i="23"/>
  <c r="T121" i="3"/>
  <c r="S98" i="3"/>
  <c r="S86" i="3"/>
  <c r="S76" i="3"/>
  <c r="S37" i="3"/>
  <c r="S26" i="3"/>
  <c r="S6" i="3"/>
  <c r="I369" i="23"/>
  <c r="I6" i="3"/>
  <c r="I26" i="3"/>
  <c r="H377" i="23"/>
  <c r="J121" i="3"/>
  <c r="J372" i="23"/>
  <c r="O113" i="3"/>
  <c r="O103" i="3"/>
  <c r="O117" i="3"/>
  <c r="O121" i="3"/>
  <c r="U98" i="3"/>
  <c r="U86" i="3"/>
  <c r="U76" i="3"/>
  <c r="U37" i="3"/>
  <c r="U26" i="3"/>
  <c r="U6" i="3"/>
  <c r="R98" i="3"/>
  <c r="R86" i="3"/>
  <c r="R76" i="3"/>
  <c r="R37" i="3"/>
  <c r="R26" i="3"/>
  <c r="R6" i="3"/>
  <c r="M121" i="3"/>
  <c r="S113" i="3"/>
  <c r="S103" i="3"/>
  <c r="S117" i="3"/>
  <c r="S121" i="3"/>
  <c r="T369" i="23"/>
  <c r="Q98" i="3"/>
  <c r="Q86" i="3"/>
  <c r="Q76" i="3"/>
  <c r="Q37" i="3"/>
  <c r="Q26" i="3"/>
  <c r="Q6" i="3"/>
  <c r="K377" i="23"/>
  <c r="T117" i="3"/>
  <c r="T113" i="3"/>
  <c r="T103" i="3"/>
  <c r="Q113" i="3"/>
  <c r="Q103" i="3"/>
  <c r="Q117" i="3"/>
  <c r="Q4" i="3"/>
  <c r="U113" i="3"/>
  <c r="U103" i="3"/>
  <c r="U117" i="3"/>
  <c r="U121" i="3"/>
  <c r="P117" i="3"/>
  <c r="P113" i="3"/>
  <c r="P103" i="3"/>
  <c r="R113" i="3"/>
  <c r="R103" i="3"/>
  <c r="R117" i="3"/>
  <c r="R121" i="3"/>
  <c r="J117" i="3"/>
  <c r="M117" i="3"/>
  <c r="M113" i="3"/>
  <c r="M103" i="3"/>
  <c r="E55" i="24"/>
  <c r="E59" i="24" s="1"/>
  <c r="J106" i="24"/>
  <c r="N113" i="3"/>
  <c r="N103" i="3"/>
  <c r="N117" i="3"/>
  <c r="N121" i="3"/>
  <c r="I117" i="3"/>
  <c r="I113" i="3"/>
  <c r="I103" i="3"/>
  <c r="I98" i="3"/>
  <c r="I86" i="3"/>
  <c r="I76" i="3"/>
  <c r="I37" i="3"/>
  <c r="I377" i="23"/>
  <c r="O36" i="3" l="1"/>
  <c r="O75" i="3" s="1"/>
  <c r="O120" i="3" s="1"/>
  <c r="O123" i="3" s="1"/>
  <c r="R36" i="3"/>
  <c r="R75" i="3" s="1"/>
  <c r="R120" i="3" s="1"/>
  <c r="R123" i="3" s="1"/>
  <c r="T36" i="3"/>
  <c r="T75" i="3" s="1"/>
  <c r="T120" i="3" s="1"/>
  <c r="T123" i="3" s="1"/>
  <c r="P36" i="3"/>
  <c r="P75" i="3" s="1"/>
  <c r="P120" i="3" s="1"/>
  <c r="P123" i="3" s="1"/>
  <c r="N36" i="3"/>
  <c r="N75" i="3" s="1"/>
  <c r="N120" i="3" s="1"/>
  <c r="N123" i="3" s="1"/>
  <c r="G55" i="24"/>
  <c r="J55" i="24" s="1"/>
  <c r="M55" i="24" s="1"/>
  <c r="N20" i="23" s="1"/>
  <c r="U36" i="3"/>
  <c r="I36" i="3"/>
  <c r="P80" i="23"/>
  <c r="M106" i="24"/>
  <c r="P9" i="23" s="1"/>
  <c r="P8" i="23" s="1"/>
  <c r="S36" i="3"/>
  <c r="S75" i="3" s="1"/>
  <c r="S120" i="3" s="1"/>
  <c r="S123" i="3" s="1"/>
  <c r="J36" i="3"/>
  <c r="Q36" i="3"/>
  <c r="Q75" i="3" s="1"/>
  <c r="Q120" i="3" s="1"/>
  <c r="Q123" i="3" s="1"/>
  <c r="M36" i="3"/>
  <c r="M75" i="3" s="1"/>
  <c r="M120" i="3" s="1"/>
  <c r="M123" i="3" s="1"/>
  <c r="I75" i="3" l="1"/>
  <c r="J75" i="3"/>
  <c r="U75" i="3"/>
  <c r="N9" i="23"/>
  <c r="N8" i="23" s="1"/>
  <c r="O124" i="3"/>
  <c r="O240" i="1"/>
  <c r="O237" i="1" s="1"/>
  <c r="O220" i="1" s="1"/>
  <c r="P124" i="3"/>
  <c r="P125" i="3" s="1"/>
  <c r="P240" i="1"/>
  <c r="P237" i="1" s="1"/>
  <c r="P220" i="1" s="1"/>
  <c r="T124" i="3"/>
  <c r="T125" i="3" s="1"/>
  <c r="T240" i="1"/>
  <c r="N10" i="23"/>
  <c r="R20" i="23"/>
  <c r="Q124" i="3"/>
  <c r="Q240" i="1"/>
  <c r="M110" i="24"/>
  <c r="N124" i="3"/>
  <c r="N125" i="3" s="1"/>
  <c r="N240" i="1"/>
  <c r="M124" i="3"/>
  <c r="M125" i="3" s="1"/>
  <c r="M240" i="1"/>
  <c r="R240" i="1"/>
  <c r="R124" i="3"/>
  <c r="S124" i="3"/>
  <c r="S125" i="3" s="1"/>
  <c r="S240" i="1"/>
  <c r="P74" i="23"/>
  <c r="P7" i="23" s="1"/>
  <c r="R80" i="23"/>
  <c r="J120" i="3" l="1"/>
  <c r="I120" i="3"/>
  <c r="U120" i="3"/>
  <c r="O126" i="3"/>
  <c r="P245" i="1"/>
  <c r="O125" i="3"/>
  <c r="O244" i="1"/>
  <c r="O245" i="1"/>
  <c r="P126" i="3"/>
  <c r="P244" i="1"/>
  <c r="Q126" i="3"/>
  <c r="S126" i="3"/>
  <c r="P349" i="23"/>
  <c r="P5" i="23" s="1"/>
  <c r="P360" i="23"/>
  <c r="P219" i="1"/>
  <c r="P243" i="1"/>
  <c r="P5" i="1" s="1"/>
  <c r="T244" i="1"/>
  <c r="R74" i="23"/>
  <c r="T80" i="23"/>
  <c r="R126" i="3"/>
  <c r="Q244" i="1"/>
  <c r="Q237" i="1"/>
  <c r="Q220" i="1" s="1"/>
  <c r="Q245" i="1"/>
  <c r="R244" i="1"/>
  <c r="R245" i="1"/>
  <c r="R237" i="1"/>
  <c r="R220" i="1" s="1"/>
  <c r="S245" i="1"/>
  <c r="S244" i="1"/>
  <c r="S237" i="1"/>
  <c r="S220" i="1" s="1"/>
  <c r="R125" i="3"/>
  <c r="Q125" i="3"/>
  <c r="U124" i="3"/>
  <c r="M126" i="3"/>
  <c r="M237" i="1"/>
  <c r="M220" i="1" s="1"/>
  <c r="M245" i="1"/>
  <c r="U240" i="1"/>
  <c r="M244" i="1"/>
  <c r="T20" i="23"/>
  <c r="N245" i="1"/>
  <c r="N237" i="1"/>
  <c r="N220" i="1" s="1"/>
  <c r="N244" i="1"/>
  <c r="O243" i="1"/>
  <c r="O5" i="1" s="1"/>
  <c r="O219" i="1"/>
  <c r="N7" i="23"/>
  <c r="N349" i="23" s="1"/>
  <c r="I123" i="3" l="1"/>
  <c r="J123" i="3"/>
  <c r="U123" i="3"/>
  <c r="U125" i="3"/>
  <c r="M243" i="1"/>
  <c r="M5" i="1" s="1"/>
  <c r="M219" i="1"/>
  <c r="K72" i="31"/>
  <c r="L72" i="31" s="1"/>
  <c r="T377" i="23"/>
  <c r="T74" i="23"/>
  <c r="R219" i="1"/>
  <c r="N360" i="23"/>
  <c r="N5" i="23"/>
  <c r="F41" i="25"/>
  <c r="F36" i="30" s="1"/>
  <c r="F8" i="30" s="1"/>
  <c r="V20" i="23"/>
  <c r="K20" i="31"/>
  <c r="L20" i="31" s="1"/>
  <c r="S243" i="1"/>
  <c r="S5" i="1" s="1"/>
  <c r="S219" i="1"/>
  <c r="Q243" i="1"/>
  <c r="Q5" i="1" s="1"/>
  <c r="Q219" i="1"/>
  <c r="N219" i="1"/>
  <c r="N243" i="1"/>
  <c r="N5" i="1" s="1"/>
  <c r="U244" i="1"/>
  <c r="P72" i="31" l="1"/>
  <c r="L62" i="31"/>
  <c r="P20" i="31"/>
  <c r="J124" i="3"/>
  <c r="J240" i="1"/>
  <c r="I124" i="3"/>
  <c r="I240" i="1"/>
  <c r="M20" i="31"/>
  <c r="K62" i="31"/>
  <c r="O62" i="31" s="1"/>
  <c r="M72" i="31"/>
  <c r="M62" i="31" s="1"/>
  <c r="J126" i="3" l="1"/>
  <c r="J244" i="1"/>
  <c r="J237" i="1"/>
  <c r="H25" i="17"/>
  <c r="I126" i="3"/>
  <c r="G25" i="17"/>
  <c r="I237" i="1"/>
  <c r="I244" i="1"/>
  <c r="F8" i="19"/>
  <c r="J8" i="19" s="1"/>
  <c r="N8" i="19" s="1"/>
  <c r="G21" i="19" s="1"/>
  <c r="P21" i="19" s="1"/>
  <c r="G109" i="17"/>
  <c r="G114" i="17" s="1"/>
  <c r="F11" i="19"/>
  <c r="J11" i="19" s="1"/>
  <c r="N11" i="19" s="1"/>
  <c r="G24" i="19" s="1"/>
  <c r="P24" i="19" s="1"/>
  <c r="H109" i="17"/>
  <c r="H114" i="17" s="1"/>
  <c r="K113" i="1"/>
  <c r="W113" i="1" s="1"/>
  <c r="K112" i="1"/>
  <c r="W112" i="1" s="1"/>
  <c r="K52" i="3"/>
  <c r="W52" i="3" s="1"/>
  <c r="G22" i="17" l="1"/>
  <c r="G6" i="17" s="1"/>
  <c r="G5" i="17" s="1"/>
  <c r="G78" i="17"/>
  <c r="G75" i="17" s="1"/>
  <c r="G59" i="17" s="1"/>
  <c r="G58" i="17" s="1"/>
  <c r="H22" i="17"/>
  <c r="H6" i="17" s="1"/>
  <c r="H5" i="17" s="1"/>
  <c r="H78" i="17"/>
  <c r="H75" i="17" s="1"/>
  <c r="H59" i="17" s="1"/>
  <c r="H58" i="17" s="1"/>
  <c r="J220" i="1"/>
  <c r="I220" i="1"/>
  <c r="L114" i="22"/>
  <c r="J114" i="22" s="1"/>
  <c r="AA52" i="3"/>
  <c r="L35" i="22"/>
  <c r="J35" i="22" s="1"/>
  <c r="AC112" i="1"/>
  <c r="L36" i="22"/>
  <c r="J36" i="22" s="1"/>
  <c r="AC113" i="1"/>
  <c r="K33" i="1"/>
  <c r="W33" i="1" s="1"/>
  <c r="K11" i="3"/>
  <c r="W11" i="3" s="1"/>
  <c r="H115" i="17" l="1"/>
  <c r="F9" i="15"/>
  <c r="K9" i="15" s="1"/>
  <c r="M9" i="15" s="1"/>
  <c r="S9" i="15" s="1"/>
  <c r="U9" i="15" s="1"/>
  <c r="Q24" i="19" s="1"/>
  <c r="J243" i="1"/>
  <c r="J219" i="1"/>
  <c r="G115" i="17"/>
  <c r="F6" i="15"/>
  <c r="K6" i="15" s="1"/>
  <c r="M6" i="15" s="1"/>
  <c r="S6" i="15" s="1"/>
  <c r="U6" i="15" s="1"/>
  <c r="Q21" i="19" s="1"/>
  <c r="I243" i="1"/>
  <c r="I219" i="1"/>
  <c r="AA11" i="3"/>
  <c r="AC33" i="1"/>
  <c r="K180" i="1"/>
  <c r="W180" i="1" s="1"/>
  <c r="G28" i="17" l="1"/>
  <c r="H28" i="17"/>
  <c r="J5" i="1"/>
  <c r="I5" i="1"/>
  <c r="AC180" i="1"/>
  <c r="K129" i="1"/>
  <c r="W129" i="1" s="1"/>
  <c r="L52" i="22" l="1"/>
  <c r="L47" i="45" s="1"/>
  <c r="M47" i="45" s="1"/>
  <c r="AC129" i="1"/>
  <c r="J52" i="22" l="1"/>
  <c r="R52" i="22"/>
  <c r="K182" i="1"/>
  <c r="W182" i="1" s="1"/>
  <c r="K183" i="1"/>
  <c r="W183" i="1" s="1"/>
  <c r="K68" i="1"/>
  <c r="W68" i="1" s="1"/>
  <c r="AC183" i="1" l="1"/>
  <c r="AC68" i="1"/>
  <c r="AC182" i="1"/>
  <c r="K152" i="1"/>
  <c r="W152" i="1" s="1"/>
  <c r="K139" i="1"/>
  <c r="W139" i="1" s="1"/>
  <c r="AC139" i="1" l="1"/>
  <c r="AC152" i="1"/>
  <c r="K31" i="1"/>
  <c r="W31" i="1" s="1"/>
  <c r="K181" i="1"/>
  <c r="W181" i="1" s="1"/>
  <c r="K142" i="1"/>
  <c r="W142" i="1" s="1"/>
  <c r="AC142" i="1" l="1"/>
  <c r="AC181" i="1"/>
  <c r="AC31" i="1"/>
  <c r="K29" i="1"/>
  <c r="W29" i="1" s="1"/>
  <c r="AC29" i="1" l="1"/>
  <c r="K198" i="1"/>
  <c r="W198" i="1" s="1"/>
  <c r="K19" i="1"/>
  <c r="W19" i="1" s="1"/>
  <c r="K20" i="1"/>
  <c r="W20" i="1" s="1"/>
  <c r="K16" i="1"/>
  <c r="W16" i="1" s="1"/>
  <c r="K208" i="1"/>
  <c r="W208" i="1" s="1"/>
  <c r="K17" i="1"/>
  <c r="W17" i="1" s="1"/>
  <c r="K18" i="1"/>
  <c r="W18" i="1" s="1"/>
  <c r="L77" i="22" l="1"/>
  <c r="J77" i="22" s="1"/>
  <c r="AC208" i="1"/>
  <c r="AC16" i="1"/>
  <c r="AC19" i="1"/>
  <c r="L10" i="22"/>
  <c r="J10" i="22" s="1"/>
  <c r="AC17" i="1"/>
  <c r="AC18" i="1"/>
  <c r="AC20" i="1"/>
  <c r="AC198" i="1"/>
  <c r="K207" i="1"/>
  <c r="H206" i="1"/>
  <c r="L9" i="22"/>
  <c r="R77" i="22" l="1"/>
  <c r="L72" i="45"/>
  <c r="M72" i="45" s="1"/>
  <c r="R10" i="22"/>
  <c r="L7" i="45"/>
  <c r="M7" i="45" s="1"/>
  <c r="R9" i="22"/>
  <c r="L6" i="45"/>
  <c r="M6" i="45" s="1"/>
  <c r="J9" i="22"/>
  <c r="K206" i="1"/>
  <c r="W207" i="1"/>
  <c r="AC207" i="1" l="1"/>
  <c r="L76" i="22"/>
  <c r="G31" i="26"/>
  <c r="R30" i="26" s="1"/>
  <c r="W206" i="1"/>
  <c r="AC206" i="1" l="1"/>
  <c r="R76" i="22"/>
  <c r="L71" i="45"/>
  <c r="M71" i="45" s="1"/>
  <c r="J76" i="22"/>
  <c r="K12" i="3" l="1"/>
  <c r="W12" i="3" s="1"/>
  <c r="AA12" i="3" l="1"/>
  <c r="K88" i="1"/>
  <c r="W88" i="1" s="1"/>
  <c r="M6" i="14" l="1"/>
  <c r="AC88" i="1"/>
  <c r="K187" i="1"/>
  <c r="W187" i="1" s="1"/>
  <c r="K186" i="1"/>
  <c r="W186" i="1" s="1"/>
  <c r="AC186" i="1" l="1"/>
  <c r="AC187" i="1"/>
  <c r="K27" i="1"/>
  <c r="W27" i="1" s="1"/>
  <c r="L17" i="22" l="1"/>
  <c r="J17" i="22" s="1"/>
  <c r="AC27" i="1"/>
  <c r="K111" i="3"/>
  <c r="W111" i="3" s="1"/>
  <c r="L156" i="22" l="1"/>
  <c r="R156" i="22" s="1"/>
  <c r="AA111" i="3"/>
  <c r="L14" i="45"/>
  <c r="M14" i="45" s="1"/>
  <c r="O46" i="31" l="1"/>
  <c r="P46" i="31" s="1"/>
  <c r="L150" i="45"/>
  <c r="M150" i="45" s="1"/>
  <c r="J156" i="22"/>
  <c r="K30" i="1"/>
  <c r="W30" i="1" s="1"/>
  <c r="K61" i="1"/>
  <c r="W61" i="1" s="1"/>
  <c r="K153" i="1"/>
  <c r="W153" i="1" s="1"/>
  <c r="K161" i="1"/>
  <c r="W161" i="1" s="1"/>
  <c r="K177" i="1"/>
  <c r="W177" i="1" s="1"/>
  <c r="K191" i="1"/>
  <c r="W191" i="1" s="1"/>
  <c r="K169" i="1"/>
  <c r="W169" i="1" s="1"/>
  <c r="K67" i="1"/>
  <c r="W67" i="1" s="1"/>
  <c r="K21" i="1"/>
  <c r="W21" i="1" s="1"/>
  <c r="K32" i="1"/>
  <c r="W32" i="1" s="1"/>
  <c r="K62" i="1"/>
  <c r="W62" i="1" s="1"/>
  <c r="K154" i="1"/>
  <c r="W154" i="1" s="1"/>
  <c r="K162" i="1"/>
  <c r="W162" i="1" s="1"/>
  <c r="K178" i="1"/>
  <c r="W178" i="1" s="1"/>
  <c r="K192" i="1"/>
  <c r="W192" i="1" s="1"/>
  <c r="K170" i="1"/>
  <c r="W170" i="1" s="1"/>
  <c r="K63" i="1"/>
  <c r="W63" i="1" s="1"/>
  <c r="K155" i="1"/>
  <c r="W155" i="1" s="1"/>
  <c r="K163" i="1"/>
  <c r="W163" i="1" s="1"/>
  <c r="K179" i="1"/>
  <c r="W179" i="1" s="1"/>
  <c r="K193" i="1"/>
  <c r="W193" i="1" s="1"/>
  <c r="K171" i="1"/>
  <c r="W171" i="1" s="1"/>
  <c r="K22" i="1"/>
  <c r="W22" i="1" s="1"/>
  <c r="K56" i="1"/>
  <c r="W56" i="1" s="1"/>
  <c r="K65" i="1"/>
  <c r="W65" i="1" s="1"/>
  <c r="K147" i="1"/>
  <c r="W147" i="1" s="1"/>
  <c r="K156" i="1"/>
  <c r="W156" i="1" s="1"/>
  <c r="K164" i="1"/>
  <c r="W164" i="1" s="1"/>
  <c r="K184" i="1"/>
  <c r="W184" i="1" s="1"/>
  <c r="K194" i="1"/>
  <c r="W194" i="1" s="1"/>
  <c r="K172" i="1"/>
  <c r="W172" i="1" s="1"/>
  <c r="K24" i="1"/>
  <c r="W24" i="1" s="1"/>
  <c r="K57" i="1"/>
  <c r="W57" i="1" s="1"/>
  <c r="K66" i="1"/>
  <c r="W66" i="1" s="1"/>
  <c r="K148" i="1"/>
  <c r="W148" i="1" s="1"/>
  <c r="K157" i="1"/>
  <c r="W157" i="1" s="1"/>
  <c r="K165" i="1"/>
  <c r="W165" i="1" s="1"/>
  <c r="K185" i="1"/>
  <c r="W185" i="1" s="1"/>
  <c r="K195" i="1"/>
  <c r="W195" i="1" s="1"/>
  <c r="K76" i="1"/>
  <c r="W76" i="1" s="1"/>
  <c r="K11" i="1"/>
  <c r="W11" i="1" s="1"/>
  <c r="K25" i="1"/>
  <c r="W25" i="1" s="1"/>
  <c r="K58" i="1"/>
  <c r="W58" i="1" s="1"/>
  <c r="K70" i="1"/>
  <c r="W70" i="1" s="1"/>
  <c r="K149" i="1"/>
  <c r="W149" i="1" s="1"/>
  <c r="K158" i="1"/>
  <c r="W158" i="1" s="1"/>
  <c r="K188" i="1"/>
  <c r="W188" i="1" s="1"/>
  <c r="K196" i="1"/>
  <c r="W196" i="1" s="1"/>
  <c r="K218" i="1"/>
  <c r="W218" i="1" s="1"/>
  <c r="K238" i="1"/>
  <c r="F23" i="17"/>
  <c r="K12" i="1"/>
  <c r="W12" i="1" s="1"/>
  <c r="K26" i="1"/>
  <c r="W26" i="1" s="1"/>
  <c r="K59" i="1"/>
  <c r="W59" i="1" s="1"/>
  <c r="K150" i="1"/>
  <c r="W150" i="1" s="1"/>
  <c r="K159" i="1"/>
  <c r="W159" i="1" s="1"/>
  <c r="K175" i="1"/>
  <c r="W175" i="1" s="1"/>
  <c r="K189" i="1"/>
  <c r="W189" i="1" s="1"/>
  <c r="K199" i="1"/>
  <c r="W199" i="1" s="1"/>
  <c r="K64" i="1"/>
  <c r="W64" i="1" s="1"/>
  <c r="K23" i="1"/>
  <c r="W23" i="1" s="1"/>
  <c r="K217" i="1"/>
  <c r="W217" i="1" s="1"/>
  <c r="K13" i="1"/>
  <c r="W13" i="1" s="1"/>
  <c r="K28" i="1"/>
  <c r="W28" i="1" s="1"/>
  <c r="K60" i="1"/>
  <c r="W60" i="1" s="1"/>
  <c r="K151" i="1"/>
  <c r="W151" i="1" s="1"/>
  <c r="K160" i="1"/>
  <c r="W160" i="1" s="1"/>
  <c r="K176" i="1"/>
  <c r="W176" i="1" s="1"/>
  <c r="K190" i="1"/>
  <c r="W190" i="1" s="1"/>
  <c r="K200" i="1"/>
  <c r="W200" i="1" s="1"/>
  <c r="K236" i="1"/>
  <c r="W236" i="1" s="1"/>
  <c r="K68" i="3"/>
  <c r="W68" i="3" s="1"/>
  <c r="K15" i="3"/>
  <c r="W15" i="3" s="1"/>
  <c r="K49" i="3"/>
  <c r="W49" i="3" s="1"/>
  <c r="K60" i="3"/>
  <c r="W60" i="3" s="1"/>
  <c r="K31" i="3"/>
  <c r="W31" i="3" s="1"/>
  <c r="K35" i="3"/>
  <c r="W35" i="3" s="1"/>
  <c r="K45" i="3"/>
  <c r="W45" i="3" s="1"/>
  <c r="K54" i="3"/>
  <c r="W54" i="3" s="1"/>
  <c r="K64" i="3"/>
  <c r="W64" i="3" s="1"/>
  <c r="K72" i="3"/>
  <c r="W72" i="3" s="1"/>
  <c r="K92" i="3"/>
  <c r="W92" i="3" s="1"/>
  <c r="K28" i="3"/>
  <c r="W28" i="3" s="1"/>
  <c r="K23" i="3"/>
  <c r="W23" i="3" s="1"/>
  <c r="K78" i="3"/>
  <c r="W78" i="3" s="1"/>
  <c r="K9" i="3"/>
  <c r="W9" i="3" s="1"/>
  <c r="K19" i="3"/>
  <c r="W19" i="3" s="1"/>
  <c r="K32" i="3"/>
  <c r="W32" i="3" s="1"/>
  <c r="K42" i="3"/>
  <c r="W42" i="3" s="1"/>
  <c r="K46" i="3"/>
  <c r="W46" i="3" s="1"/>
  <c r="K50" i="3"/>
  <c r="W50" i="3" s="1"/>
  <c r="K57" i="3"/>
  <c r="W57" i="3" s="1"/>
  <c r="K61" i="3"/>
  <c r="W61" i="3" s="1"/>
  <c r="K65" i="3"/>
  <c r="W65" i="3" s="1"/>
  <c r="K73" i="3"/>
  <c r="W73" i="3" s="1"/>
  <c r="K89" i="3"/>
  <c r="W89" i="3" s="1"/>
  <c r="K93" i="3"/>
  <c r="W93" i="3" s="1"/>
  <c r="K97" i="3"/>
  <c r="W97" i="3" s="1"/>
  <c r="K40" i="3"/>
  <c r="K53" i="3"/>
  <c r="W53" i="3" s="1"/>
  <c r="K59" i="3"/>
  <c r="W59" i="3" s="1"/>
  <c r="K63" i="3"/>
  <c r="W63" i="3" s="1"/>
  <c r="K67" i="3"/>
  <c r="W67" i="3" s="1"/>
  <c r="K71" i="3"/>
  <c r="W71" i="3" s="1"/>
  <c r="K91" i="3"/>
  <c r="W91" i="3" s="1"/>
  <c r="K95" i="3"/>
  <c r="W95" i="3" s="1"/>
  <c r="K119" i="3"/>
  <c r="W119" i="3" s="1"/>
  <c r="K33" i="3"/>
  <c r="W33" i="3" s="1"/>
  <c r="K43" i="3"/>
  <c r="W43" i="3" s="1"/>
  <c r="K51" i="3"/>
  <c r="W51" i="3" s="1"/>
  <c r="K70" i="3"/>
  <c r="W70" i="3" s="1"/>
  <c r="K90" i="3"/>
  <c r="W90" i="3" s="1"/>
  <c r="K29" i="3"/>
  <c r="W29" i="3" s="1"/>
  <c r="K39" i="3"/>
  <c r="W39" i="3" s="1"/>
  <c r="K47" i="3"/>
  <c r="W47" i="3" s="1"/>
  <c r="K58" i="3"/>
  <c r="W58" i="3" s="1"/>
  <c r="K66" i="3"/>
  <c r="W66" i="3" s="1"/>
  <c r="K74" i="3"/>
  <c r="W74" i="3" s="1"/>
  <c r="K16" i="3"/>
  <c r="W16" i="3" s="1"/>
  <c r="K62" i="3"/>
  <c r="W62" i="3" s="1"/>
  <c r="K107" i="3"/>
  <c r="W107" i="3" s="1"/>
  <c r="K108" i="3"/>
  <c r="W108" i="3" s="1"/>
  <c r="K110" i="3"/>
  <c r="W110" i="3" s="1"/>
  <c r="K116" i="3"/>
  <c r="W116" i="3" s="1"/>
  <c r="K10" i="3"/>
  <c r="W10" i="3" s="1"/>
  <c r="K20" i="3"/>
  <c r="W20" i="3" s="1"/>
  <c r="K24" i="3"/>
  <c r="W24" i="3" s="1"/>
  <c r="K79" i="3"/>
  <c r="W79" i="3" s="1"/>
  <c r="K83" i="3"/>
  <c r="W83" i="3" s="1"/>
  <c r="K44" i="3"/>
  <c r="W44" i="3" s="1"/>
  <c r="K48" i="3"/>
  <c r="W48" i="3" s="1"/>
  <c r="K109" i="3"/>
  <c r="W109" i="3" s="1"/>
  <c r="K17" i="3"/>
  <c r="W17" i="3" s="1"/>
  <c r="K81" i="3"/>
  <c r="W81" i="3" s="1"/>
  <c r="K25" i="3"/>
  <c r="W25" i="3" s="1"/>
  <c r="K21" i="3"/>
  <c r="W21" i="3" s="1"/>
  <c r="K80" i="3"/>
  <c r="W80" i="3" s="1"/>
  <c r="K22" i="3"/>
  <c r="W22" i="3" s="1"/>
  <c r="K8" i="3"/>
  <c r="W8" i="3" s="1"/>
  <c r="K14" i="3"/>
  <c r="W14" i="3" s="1"/>
  <c r="K18" i="3"/>
  <c r="W18" i="3" s="1"/>
  <c r="K106" i="3"/>
  <c r="W106" i="3" s="1"/>
  <c r="K88" i="3"/>
  <c r="W88" i="3" s="1"/>
  <c r="K41" i="3"/>
  <c r="W41" i="3" s="1"/>
  <c r="K13" i="3"/>
  <c r="W13" i="3" s="1"/>
  <c r="K102" i="3"/>
  <c r="W102" i="3" s="1"/>
  <c r="K30" i="3"/>
  <c r="W30" i="3" s="1"/>
  <c r="K34" i="3"/>
  <c r="W34" i="3" s="1"/>
  <c r="AA15" i="3" l="1"/>
  <c r="AA18" i="3"/>
  <c r="L119" i="22"/>
  <c r="R119" i="22" s="1"/>
  <c r="AA43" i="3"/>
  <c r="AC190" i="1"/>
  <c r="AC193" i="1"/>
  <c r="AA116" i="3"/>
  <c r="AA23" i="3"/>
  <c r="AC64" i="1"/>
  <c r="AC164" i="1"/>
  <c r="AA79" i="3"/>
  <c r="AA88" i="3"/>
  <c r="AA25" i="3"/>
  <c r="AA24" i="3"/>
  <c r="AA16" i="3"/>
  <c r="L132" i="22"/>
  <c r="J132" i="22" s="1"/>
  <c r="AA70" i="3"/>
  <c r="L120" i="22"/>
  <c r="AA67" i="3"/>
  <c r="L134" i="22"/>
  <c r="J134" i="22" s="1"/>
  <c r="AA73" i="3"/>
  <c r="AA19" i="3"/>
  <c r="L107" i="22"/>
  <c r="R107" i="22" s="1"/>
  <c r="AA54" i="3"/>
  <c r="AC236" i="1"/>
  <c r="AC13" i="1"/>
  <c r="AC150" i="1"/>
  <c r="AC188" i="1"/>
  <c r="AC195" i="1"/>
  <c r="AC172" i="1"/>
  <c r="AC22" i="1"/>
  <c r="AC192" i="1"/>
  <c r="L69" i="22"/>
  <c r="J69" i="22" s="1"/>
  <c r="AC169" i="1"/>
  <c r="AA17" i="3"/>
  <c r="L128" i="22"/>
  <c r="AA59" i="3"/>
  <c r="AC26" i="1"/>
  <c r="AC177" i="1"/>
  <c r="L158" i="22"/>
  <c r="O57" i="31" s="1"/>
  <c r="P57" i="31" s="1"/>
  <c r="AA109" i="3"/>
  <c r="L116" i="22"/>
  <c r="R116" i="22" s="1"/>
  <c r="AA57" i="3"/>
  <c r="AC157" i="1"/>
  <c r="L103" i="22"/>
  <c r="L98" i="45" s="1"/>
  <c r="M98" i="45" s="1"/>
  <c r="AA41" i="3"/>
  <c r="AA21" i="3"/>
  <c r="L155" i="22"/>
  <c r="J155" i="22" s="1"/>
  <c r="AA106" i="3"/>
  <c r="AA81" i="3"/>
  <c r="AA20" i="3"/>
  <c r="L135" i="22"/>
  <c r="R135" i="22" s="1"/>
  <c r="AA74" i="3"/>
  <c r="L113" i="22"/>
  <c r="J113" i="22" s="1"/>
  <c r="AA51" i="3"/>
  <c r="L127" i="22"/>
  <c r="R127" i="22" s="1"/>
  <c r="AA63" i="3"/>
  <c r="L125" i="22"/>
  <c r="J125" i="22" s="1"/>
  <c r="AA65" i="3"/>
  <c r="AA9" i="3"/>
  <c r="L121" i="22"/>
  <c r="J121" i="22" s="1"/>
  <c r="AA45" i="3"/>
  <c r="L162" i="22"/>
  <c r="R162" i="22" s="1"/>
  <c r="AC200" i="1"/>
  <c r="L15" i="22"/>
  <c r="R15" i="22" s="1"/>
  <c r="AC217" i="1"/>
  <c r="AC59" i="1"/>
  <c r="AC158" i="1"/>
  <c r="AC185" i="1"/>
  <c r="AC194" i="1"/>
  <c r="L70" i="22"/>
  <c r="L65" i="45" s="1"/>
  <c r="M65" i="45" s="1"/>
  <c r="AC171" i="1"/>
  <c r="AC178" i="1"/>
  <c r="AC191" i="1"/>
  <c r="L124" i="22"/>
  <c r="R124" i="22" s="1"/>
  <c r="AA66" i="3"/>
  <c r="AA35" i="3"/>
  <c r="L65" i="22"/>
  <c r="L60" i="45" s="1"/>
  <c r="M60" i="45" s="1"/>
  <c r="AC165" i="1"/>
  <c r="AA14" i="3"/>
  <c r="L115" i="22"/>
  <c r="L109" i="45" s="1"/>
  <c r="M109" i="45" s="1"/>
  <c r="AA53" i="3"/>
  <c r="AC12" i="1"/>
  <c r="AC179" i="1"/>
  <c r="AA30" i="3"/>
  <c r="AA8" i="3"/>
  <c r="L110" i="22"/>
  <c r="L105" i="45" s="1"/>
  <c r="M105" i="45" s="1"/>
  <c r="AA48" i="3"/>
  <c r="L160" i="22"/>
  <c r="J160" i="22" s="1"/>
  <c r="AA110" i="3"/>
  <c r="L111" i="22"/>
  <c r="R111" i="22" s="1"/>
  <c r="AA47" i="3"/>
  <c r="AA119" i="3"/>
  <c r="L112" i="22"/>
  <c r="J112" i="22" s="1"/>
  <c r="AA50" i="3"/>
  <c r="L99" i="22"/>
  <c r="R99" i="22" s="1"/>
  <c r="AA28" i="3"/>
  <c r="L130" i="22"/>
  <c r="R130" i="22" s="1"/>
  <c r="AA60" i="3"/>
  <c r="AC160" i="1"/>
  <c r="AC199" i="1"/>
  <c r="L163" i="22"/>
  <c r="R163" i="22" s="1"/>
  <c r="AC58" i="1"/>
  <c r="AC148" i="1"/>
  <c r="AC156" i="1"/>
  <c r="AC163" i="1"/>
  <c r="AC62" i="1"/>
  <c r="AC153" i="1"/>
  <c r="AA10" i="3"/>
  <c r="AA78" i="3"/>
  <c r="AC149" i="1"/>
  <c r="AC162" i="1"/>
  <c r="L118" i="22"/>
  <c r="L112" i="45" s="1"/>
  <c r="M112" i="45" s="1"/>
  <c r="AA58" i="3"/>
  <c r="AA31" i="3"/>
  <c r="AC70" i="1"/>
  <c r="AC161" i="1"/>
  <c r="L144" i="22"/>
  <c r="J144" i="22" s="1"/>
  <c r="AA102" i="3"/>
  <c r="AA22" i="3"/>
  <c r="L105" i="22"/>
  <c r="L100" i="45" s="1"/>
  <c r="M100" i="45" s="1"/>
  <c r="AA44" i="3"/>
  <c r="L150" i="22"/>
  <c r="R150" i="22" s="1"/>
  <c r="AA108" i="3"/>
  <c r="L102" i="22"/>
  <c r="L97" i="45" s="1"/>
  <c r="M97" i="45" s="1"/>
  <c r="AA39" i="3"/>
  <c r="AA95" i="3"/>
  <c r="AA97" i="3"/>
  <c r="L106" i="22"/>
  <c r="R106" i="22" s="1"/>
  <c r="AA46" i="3"/>
  <c r="AA92" i="3"/>
  <c r="AA49" i="3"/>
  <c r="AC151" i="1"/>
  <c r="AC189" i="1"/>
  <c r="AC25" i="1"/>
  <c r="AC66" i="1"/>
  <c r="AC147" i="1"/>
  <c r="AC155" i="1"/>
  <c r="L55" i="22"/>
  <c r="R55" i="22" s="1"/>
  <c r="AC32" i="1"/>
  <c r="AC61" i="1"/>
  <c r="L122" i="22"/>
  <c r="L116" i="45" s="1"/>
  <c r="M116" i="45" s="1"/>
  <c r="AA61" i="3"/>
  <c r="L13" i="22"/>
  <c r="R13" i="22" s="1"/>
  <c r="AC23" i="1"/>
  <c r="AC184" i="1"/>
  <c r="AA34" i="3"/>
  <c r="AA33" i="3"/>
  <c r="AC176" i="1"/>
  <c r="AC154" i="1"/>
  <c r="AA13" i="3"/>
  <c r="AA80" i="3"/>
  <c r="AA83" i="3"/>
  <c r="L153" i="22"/>
  <c r="J153" i="22" s="1"/>
  <c r="AA107" i="3"/>
  <c r="AA29" i="3"/>
  <c r="AA91" i="3"/>
  <c r="AA93" i="3"/>
  <c r="L104" i="22"/>
  <c r="J104" i="22" s="1"/>
  <c r="AA42" i="3"/>
  <c r="L133" i="22"/>
  <c r="J133" i="22" s="1"/>
  <c r="AA72" i="3"/>
  <c r="AC60" i="1"/>
  <c r="AC175" i="1"/>
  <c r="AC218" i="1"/>
  <c r="AC11" i="1"/>
  <c r="AC57" i="1"/>
  <c r="AC65" i="1"/>
  <c r="AC63" i="1"/>
  <c r="AC21" i="1"/>
  <c r="L19" i="22"/>
  <c r="L16" i="45" s="1"/>
  <c r="M16" i="45" s="1"/>
  <c r="AC30" i="1"/>
  <c r="L123" i="22"/>
  <c r="J123" i="22" s="1"/>
  <c r="AA62" i="3"/>
  <c r="AA90" i="3"/>
  <c r="L117" i="22"/>
  <c r="R117" i="22" s="1"/>
  <c r="AA71" i="3"/>
  <c r="L146" i="22"/>
  <c r="R146" i="22" s="1"/>
  <c r="AA89" i="3"/>
  <c r="AA32" i="3"/>
  <c r="L126" i="22"/>
  <c r="J126" i="22" s="1"/>
  <c r="AA64" i="3"/>
  <c r="L131" i="22"/>
  <c r="L125" i="45" s="1"/>
  <c r="M125" i="45" s="1"/>
  <c r="AA68" i="3"/>
  <c r="AC28" i="1"/>
  <c r="AC159" i="1"/>
  <c r="AC196" i="1"/>
  <c r="L11" i="22"/>
  <c r="L8" i="45" s="1"/>
  <c r="M8" i="45" s="1"/>
  <c r="AC76" i="1"/>
  <c r="AC24" i="1"/>
  <c r="AC56" i="1"/>
  <c r="AC170" i="1"/>
  <c r="AC67" i="1"/>
  <c r="L16" i="22"/>
  <c r="R16" i="22" s="1"/>
  <c r="L138" i="22"/>
  <c r="L132" i="45" s="1"/>
  <c r="M132" i="45" s="1"/>
  <c r="F24" i="17"/>
  <c r="F77" i="17" s="1"/>
  <c r="K239" i="1"/>
  <c r="W239" i="1" s="1"/>
  <c r="K46" i="1"/>
  <c r="W46" i="1" s="1"/>
  <c r="K130" i="1"/>
  <c r="W130" i="1" s="1"/>
  <c r="K234" i="1"/>
  <c r="W234" i="1" s="1"/>
  <c r="F20" i="17"/>
  <c r="F73" i="17" s="1"/>
  <c r="K80" i="1"/>
  <c r="W80" i="1" s="1"/>
  <c r="K118" i="1"/>
  <c r="W118" i="1" s="1"/>
  <c r="J7" i="14"/>
  <c r="G7" i="14" s="1"/>
  <c r="H7" i="14" s="1"/>
  <c r="H221" i="1"/>
  <c r="F8" i="17"/>
  <c r="K222" i="1"/>
  <c r="K221" i="1" s="1"/>
  <c r="K105" i="1"/>
  <c r="W105" i="1" s="1"/>
  <c r="K114" i="1"/>
  <c r="W114" i="1" s="1"/>
  <c r="K110" i="1"/>
  <c r="W110" i="1" s="1"/>
  <c r="K89" i="1"/>
  <c r="W89" i="1" s="1"/>
  <c r="K122" i="3"/>
  <c r="H121" i="3"/>
  <c r="H372" i="23"/>
  <c r="L95" i="22"/>
  <c r="H9" i="1"/>
  <c r="K10" i="1"/>
  <c r="K229" i="1"/>
  <c r="F15" i="17"/>
  <c r="F68" i="17" s="1"/>
  <c r="J12" i="14"/>
  <c r="G12" i="14" s="1"/>
  <c r="H12" i="14" s="1"/>
  <c r="K36" i="1"/>
  <c r="W36" i="1" s="1"/>
  <c r="K120" i="1"/>
  <c r="W120" i="1" s="1"/>
  <c r="J9" i="14"/>
  <c r="G9" i="14" s="1"/>
  <c r="H9" i="14" s="1"/>
  <c r="K225" i="1"/>
  <c r="F11" i="17"/>
  <c r="F64" i="17" s="1"/>
  <c r="K52" i="1"/>
  <c r="W52" i="1" s="1"/>
  <c r="K107" i="1"/>
  <c r="W107" i="1" s="1"/>
  <c r="K135" i="1"/>
  <c r="W135" i="1" s="1"/>
  <c r="K97" i="1"/>
  <c r="W97" i="1" s="1"/>
  <c r="K104" i="1"/>
  <c r="W104" i="1" s="1"/>
  <c r="K102" i="1"/>
  <c r="W102" i="1" s="1"/>
  <c r="K74" i="1"/>
  <c r="W74" i="1" s="1"/>
  <c r="L97" i="22"/>
  <c r="J116" i="22"/>
  <c r="H378" i="23"/>
  <c r="K99" i="3"/>
  <c r="H98" i="3"/>
  <c r="K132" i="1"/>
  <c r="W132" i="1" s="1"/>
  <c r="M19" i="14"/>
  <c r="J23" i="38"/>
  <c r="K23" i="38" s="1"/>
  <c r="N23" i="38" s="1"/>
  <c r="K109" i="1"/>
  <c r="W109" i="1" s="1"/>
  <c r="K43" i="1"/>
  <c r="W43" i="1" s="1"/>
  <c r="K99" i="1"/>
  <c r="W99" i="1" s="1"/>
  <c r="K126" i="1"/>
  <c r="W126" i="1" s="1"/>
  <c r="K96" i="1"/>
  <c r="W96" i="1" s="1"/>
  <c r="K94" i="1"/>
  <c r="W94" i="1" s="1"/>
  <c r="K214" i="1"/>
  <c r="H213" i="1"/>
  <c r="K55" i="1"/>
  <c r="K202" i="1"/>
  <c r="H201" i="1"/>
  <c r="L64" i="22"/>
  <c r="K7" i="3"/>
  <c r="J7" i="12"/>
  <c r="H6" i="3"/>
  <c r="L100" i="22"/>
  <c r="M18" i="38"/>
  <c r="G23" i="39" s="1"/>
  <c r="W40" i="3"/>
  <c r="K118" i="3"/>
  <c r="H117" i="3"/>
  <c r="H370" i="23"/>
  <c r="K104" i="3"/>
  <c r="H103" i="3"/>
  <c r="L96" i="22"/>
  <c r="L147" i="22"/>
  <c r="H374" i="23"/>
  <c r="K82" i="3"/>
  <c r="K122" i="1"/>
  <c r="W122" i="1" s="1"/>
  <c r="K228" i="1"/>
  <c r="J11" i="14"/>
  <c r="G11" i="14" s="1"/>
  <c r="H11" i="14" s="1"/>
  <c r="H227" i="1"/>
  <c r="F14" i="17"/>
  <c r="K101" i="1"/>
  <c r="W101" i="1" s="1"/>
  <c r="K128" i="1"/>
  <c r="W128" i="1" s="1"/>
  <c r="K117" i="1"/>
  <c r="W117" i="1" s="1"/>
  <c r="K48" i="1"/>
  <c r="W48" i="1" s="1"/>
  <c r="K85" i="1"/>
  <c r="W85" i="1" s="1"/>
  <c r="K83" i="1"/>
  <c r="W83" i="1" s="1"/>
  <c r="K75" i="1"/>
  <c r="W75" i="1" s="1"/>
  <c r="L68" i="22"/>
  <c r="L6" i="22"/>
  <c r="K114" i="3"/>
  <c r="H113" i="3"/>
  <c r="K96" i="3"/>
  <c r="H367" i="23"/>
  <c r="K111" i="1"/>
  <c r="W111" i="1" s="1"/>
  <c r="K93" i="1"/>
  <c r="W93" i="1" s="1"/>
  <c r="K119" i="1"/>
  <c r="W119" i="1" s="1"/>
  <c r="F19" i="17"/>
  <c r="F72" i="17" s="1"/>
  <c r="K233" i="1"/>
  <c r="W233" i="1" s="1"/>
  <c r="K79" i="1"/>
  <c r="W79" i="1" s="1"/>
  <c r="J14" i="14"/>
  <c r="G14" i="14" s="1"/>
  <c r="H14" i="14" s="1"/>
  <c r="K231" i="1"/>
  <c r="F17" i="17"/>
  <c r="F70" i="17" s="1"/>
  <c r="F100" i="17" s="1"/>
  <c r="K38" i="1"/>
  <c r="W38" i="1" s="1"/>
  <c r="K47" i="1"/>
  <c r="W47" i="1" s="1"/>
  <c r="K51" i="1"/>
  <c r="W51" i="1" s="1"/>
  <c r="K124" i="1"/>
  <c r="W124" i="1" s="1"/>
  <c r="K78" i="1"/>
  <c r="W78" i="1" s="1"/>
  <c r="L71" i="22"/>
  <c r="J9" i="12"/>
  <c r="J10" i="12" s="1"/>
  <c r="K27" i="3"/>
  <c r="H26" i="3"/>
  <c r="R128" i="22"/>
  <c r="J128" i="22"/>
  <c r="L122" i="45"/>
  <c r="M122" i="45" s="1"/>
  <c r="H379" i="23"/>
  <c r="K100" i="3"/>
  <c r="H366" i="23"/>
  <c r="K94" i="3"/>
  <c r="H371" i="23"/>
  <c r="K87" i="3"/>
  <c r="H86" i="3"/>
  <c r="H368" i="23"/>
  <c r="K105" i="3"/>
  <c r="K103" i="1"/>
  <c r="W103" i="1" s="1"/>
  <c r="F21" i="17"/>
  <c r="F74" i="17" s="1"/>
  <c r="K235" i="1"/>
  <c r="K108" i="1"/>
  <c r="W108" i="1" s="1"/>
  <c r="H223" i="1"/>
  <c r="F10" i="17"/>
  <c r="J8" i="14"/>
  <c r="G8" i="14" s="1"/>
  <c r="H8" i="14" s="1"/>
  <c r="K224" i="1"/>
  <c r="K41" i="1"/>
  <c r="W41" i="1" s="1"/>
  <c r="K134" i="1"/>
  <c r="W134" i="1" s="1"/>
  <c r="F16" i="17"/>
  <c r="F69" i="17" s="1"/>
  <c r="J13" i="14"/>
  <c r="G13" i="14" s="1"/>
  <c r="H13" i="14" s="1"/>
  <c r="K230" i="1"/>
  <c r="K37" i="1"/>
  <c r="W37" i="1" s="1"/>
  <c r="K35" i="1"/>
  <c r="H166" i="1"/>
  <c r="K167" i="1"/>
  <c r="L73" i="22"/>
  <c r="Y189" i="1"/>
  <c r="H375" i="23"/>
  <c r="K85" i="3"/>
  <c r="L114" i="45"/>
  <c r="M114" i="45" s="1"/>
  <c r="J120" i="22"/>
  <c r="R120" i="22"/>
  <c r="K38" i="3"/>
  <c r="H37" i="3"/>
  <c r="K95" i="1"/>
  <c r="W95" i="1" s="1"/>
  <c r="F12" i="17"/>
  <c r="F65" i="17" s="1"/>
  <c r="K226" i="1"/>
  <c r="W226" i="1" s="1"/>
  <c r="K53" i="1"/>
  <c r="W53" i="1" s="1"/>
  <c r="K100" i="1"/>
  <c r="W100" i="1" s="1"/>
  <c r="K136" i="1"/>
  <c r="W136" i="1" s="1"/>
  <c r="K42" i="1"/>
  <c r="W42" i="1" s="1"/>
  <c r="K125" i="1"/>
  <c r="W125" i="1" s="1"/>
  <c r="K133" i="1"/>
  <c r="W133" i="1" s="1"/>
  <c r="K131" i="1"/>
  <c r="W131" i="1" s="1"/>
  <c r="K106" i="1"/>
  <c r="W106" i="1" s="1"/>
  <c r="F76" i="17"/>
  <c r="AA5" i="16" s="1"/>
  <c r="K174" i="1"/>
  <c r="H215" i="1"/>
  <c r="K216" i="1"/>
  <c r="Y188" i="1"/>
  <c r="L161" i="22"/>
  <c r="K212" i="1"/>
  <c r="H211" i="1"/>
  <c r="H209" i="1"/>
  <c r="K210" i="1"/>
  <c r="L94" i="22"/>
  <c r="H376" i="23"/>
  <c r="K84" i="3"/>
  <c r="H365" i="23"/>
  <c r="K69" i="3"/>
  <c r="K77" i="3"/>
  <c r="H373" i="23"/>
  <c r="H76" i="3"/>
  <c r="K84" i="1"/>
  <c r="W84" i="1" s="1"/>
  <c r="K44" i="1"/>
  <c r="W44" i="1" s="1"/>
  <c r="K92" i="1"/>
  <c r="W92" i="1" s="1"/>
  <c r="K127" i="1"/>
  <c r="W127" i="1" s="1"/>
  <c r="F18" i="17"/>
  <c r="F71" i="17" s="1"/>
  <c r="K232" i="1"/>
  <c r="W232" i="1" s="1"/>
  <c r="K123" i="1"/>
  <c r="W123" i="1" s="1"/>
  <c r="K121" i="1"/>
  <c r="W121" i="1" s="1"/>
  <c r="K98" i="1"/>
  <c r="W98" i="1" s="1"/>
  <c r="K45" i="1"/>
  <c r="W45" i="1" s="1"/>
  <c r="L20" i="22"/>
  <c r="L154" i="45" l="1"/>
  <c r="M154" i="45" s="1"/>
  <c r="L102" i="45"/>
  <c r="M102" i="45" s="1"/>
  <c r="J107" i="22"/>
  <c r="O31" i="31"/>
  <c r="P31" i="31" s="1"/>
  <c r="L121" i="45"/>
  <c r="M121" i="45" s="1"/>
  <c r="J127" i="22"/>
  <c r="J70" i="22"/>
  <c r="L127" i="45"/>
  <c r="M127" i="45" s="1"/>
  <c r="R104" i="22"/>
  <c r="L128" i="45"/>
  <c r="M128" i="45" s="1"/>
  <c r="L119" i="45"/>
  <c r="M119" i="45" s="1"/>
  <c r="L149" i="45"/>
  <c r="M149" i="45" s="1"/>
  <c r="J119" i="22"/>
  <c r="L113" i="45"/>
  <c r="M113" i="45" s="1"/>
  <c r="R155" i="22"/>
  <c r="L108" i="45"/>
  <c r="M108" i="45" s="1"/>
  <c r="L110" i="45"/>
  <c r="M110" i="45" s="1"/>
  <c r="L156" i="45"/>
  <c r="M156" i="45" s="1"/>
  <c r="R113" i="22"/>
  <c r="R110" i="22"/>
  <c r="L157" i="45"/>
  <c r="M157" i="45" s="1"/>
  <c r="R70" i="22"/>
  <c r="L94" i="45"/>
  <c r="M94" i="45" s="1"/>
  <c r="L106" i="45"/>
  <c r="M106" i="45" s="1"/>
  <c r="R144" i="22"/>
  <c r="R125" i="22"/>
  <c r="J162" i="22"/>
  <c r="L138" i="45"/>
  <c r="M138" i="45" s="1"/>
  <c r="J99" i="22"/>
  <c r="J111" i="22"/>
  <c r="J150" i="22"/>
  <c r="R133" i="22"/>
  <c r="J135" i="22"/>
  <c r="J163" i="22"/>
  <c r="J65" i="22"/>
  <c r="R65" i="22"/>
  <c r="L99" i="45"/>
  <c r="M99" i="45" s="1"/>
  <c r="R132" i="22"/>
  <c r="L101" i="45"/>
  <c r="M101" i="45" s="1"/>
  <c r="L126" i="45"/>
  <c r="M126" i="45" s="1"/>
  <c r="L144" i="45"/>
  <c r="M144" i="45" s="1"/>
  <c r="J106" i="22"/>
  <c r="R134" i="22"/>
  <c r="O10" i="31"/>
  <c r="P10" i="31" s="1"/>
  <c r="R123" i="22"/>
  <c r="R69" i="22"/>
  <c r="L140" i="45"/>
  <c r="M140" i="45" s="1"/>
  <c r="R138" i="22"/>
  <c r="R118" i="22"/>
  <c r="R19" i="22"/>
  <c r="J19" i="22"/>
  <c r="L64" i="45"/>
  <c r="M64" i="45" s="1"/>
  <c r="L111" i="45"/>
  <c r="M111" i="45" s="1"/>
  <c r="J117" i="22"/>
  <c r="J118" i="22"/>
  <c r="J138" i="22"/>
  <c r="L129" i="45"/>
  <c r="M129" i="45" s="1"/>
  <c r="R115" i="22"/>
  <c r="J115" i="22"/>
  <c r="L147" i="45"/>
  <c r="M147" i="45" s="1"/>
  <c r="L12" i="45"/>
  <c r="M12" i="45" s="1"/>
  <c r="J15" i="22"/>
  <c r="J11" i="22"/>
  <c r="R126" i="22"/>
  <c r="R103" i="22"/>
  <c r="L152" i="45"/>
  <c r="M152" i="45" s="1"/>
  <c r="J103" i="22"/>
  <c r="L124" i="45"/>
  <c r="M124" i="45" s="1"/>
  <c r="O11" i="31"/>
  <c r="P11" i="31" s="1"/>
  <c r="R158" i="22"/>
  <c r="J130" i="22"/>
  <c r="J158" i="22"/>
  <c r="R153" i="22"/>
  <c r="J124" i="22"/>
  <c r="J146" i="22"/>
  <c r="L118" i="45"/>
  <c r="M118" i="45" s="1"/>
  <c r="L50" i="45"/>
  <c r="M50" i="45" s="1"/>
  <c r="R131" i="22"/>
  <c r="O9" i="31"/>
  <c r="P9" i="31" s="1"/>
  <c r="R160" i="22"/>
  <c r="L117" i="45"/>
  <c r="M117" i="45" s="1"/>
  <c r="R11" i="22"/>
  <c r="R122" i="22"/>
  <c r="J102" i="22"/>
  <c r="J110" i="22"/>
  <c r="R112" i="22"/>
  <c r="L107" i="45"/>
  <c r="M107" i="45" s="1"/>
  <c r="L120" i="45"/>
  <c r="M120" i="45" s="1"/>
  <c r="O30" i="31"/>
  <c r="P30" i="31" s="1"/>
  <c r="L38" i="22"/>
  <c r="L33" i="45" s="1"/>
  <c r="M33" i="45" s="1"/>
  <c r="AC92" i="1"/>
  <c r="L28" i="22"/>
  <c r="J28" i="22" s="1"/>
  <c r="AC45" i="1"/>
  <c r="L27" i="22"/>
  <c r="L24" i="45" s="1"/>
  <c r="M24" i="45" s="1"/>
  <c r="AC44" i="1"/>
  <c r="L25" i="22"/>
  <c r="L22" i="45" s="1"/>
  <c r="M22" i="45" s="1"/>
  <c r="AC42" i="1"/>
  <c r="L34" i="22"/>
  <c r="J34" i="22" s="1"/>
  <c r="AC111" i="1"/>
  <c r="AC128" i="1"/>
  <c r="L32" i="22"/>
  <c r="J32" i="22" s="1"/>
  <c r="AC109" i="1"/>
  <c r="L10" i="45"/>
  <c r="M10" i="45" s="1"/>
  <c r="J122" i="22"/>
  <c r="R102" i="22"/>
  <c r="J105" i="22"/>
  <c r="L48" i="22"/>
  <c r="L43" i="45" s="1"/>
  <c r="M43" i="45" s="1"/>
  <c r="AC114" i="1"/>
  <c r="J131" i="22"/>
  <c r="L57" i="22"/>
  <c r="J57" i="22" s="1"/>
  <c r="AC74" i="1"/>
  <c r="R105" i="22"/>
  <c r="AC105" i="1"/>
  <c r="AC234" i="1"/>
  <c r="L136" i="22"/>
  <c r="R136" i="22" s="1"/>
  <c r="AA40" i="3"/>
  <c r="AC121" i="1"/>
  <c r="AC102" i="1"/>
  <c r="AC130" i="1"/>
  <c r="AC98" i="1"/>
  <c r="AC84" i="1"/>
  <c r="AC123" i="1"/>
  <c r="AC53" i="1"/>
  <c r="L14" i="22"/>
  <c r="J14" i="22" s="1"/>
  <c r="AC78" i="1"/>
  <c r="L58" i="22"/>
  <c r="L53" i="45" s="1"/>
  <c r="M53" i="45" s="1"/>
  <c r="AC79" i="1"/>
  <c r="L115" i="45"/>
  <c r="M115" i="45" s="1"/>
  <c r="L12" i="22"/>
  <c r="L9" i="45" s="1"/>
  <c r="M9" i="45" s="1"/>
  <c r="AC75" i="1"/>
  <c r="L40" i="22"/>
  <c r="L35" i="45" s="1"/>
  <c r="M35" i="45" s="1"/>
  <c r="AC94" i="1"/>
  <c r="AC132" i="1"/>
  <c r="AC104" i="1"/>
  <c r="AC120" i="1"/>
  <c r="L29" i="22"/>
  <c r="L26" i="45" s="1"/>
  <c r="M26" i="45" s="1"/>
  <c r="AC46" i="1"/>
  <c r="AC125" i="1"/>
  <c r="L24" i="22"/>
  <c r="L21" i="45" s="1"/>
  <c r="M21" i="45" s="1"/>
  <c r="AC41" i="1"/>
  <c r="AC103" i="1"/>
  <c r="AC38" i="1"/>
  <c r="L39" i="22"/>
  <c r="L34" i="45" s="1"/>
  <c r="M34" i="45" s="1"/>
  <c r="AC93" i="1"/>
  <c r="AC117" i="1"/>
  <c r="L26" i="22"/>
  <c r="L23" i="45" s="1"/>
  <c r="M23" i="45" s="1"/>
  <c r="AC43" i="1"/>
  <c r="J13" i="22"/>
  <c r="AC52" i="1"/>
  <c r="L33" i="22"/>
  <c r="J33" i="22" s="1"/>
  <c r="AC110" i="1"/>
  <c r="AC136" i="1"/>
  <c r="AC101" i="1"/>
  <c r="AC100" i="1"/>
  <c r="AC37" i="1"/>
  <c r="AC106" i="1"/>
  <c r="AC226" i="1"/>
  <c r="L31" i="22"/>
  <c r="R31" i="22" s="1"/>
  <c r="AC108" i="1"/>
  <c r="AC124" i="1"/>
  <c r="AC233" i="1"/>
  <c r="R121" i="22"/>
  <c r="AC83" i="1"/>
  <c r="AC96" i="1"/>
  <c r="AC97" i="1"/>
  <c r="L7" i="22"/>
  <c r="R7" i="22" s="1"/>
  <c r="AC36" i="1"/>
  <c r="AC239" i="1"/>
  <c r="AC232" i="1"/>
  <c r="AC131" i="1"/>
  <c r="AC51" i="1"/>
  <c r="AC85" i="1"/>
  <c r="J55" i="22"/>
  <c r="AC126" i="1"/>
  <c r="AC135" i="1"/>
  <c r="AC80" i="1"/>
  <c r="AC127" i="1"/>
  <c r="AC133" i="1"/>
  <c r="L41" i="22"/>
  <c r="R41" i="22" s="1"/>
  <c r="AC95" i="1"/>
  <c r="AC134" i="1"/>
  <c r="L30" i="22"/>
  <c r="L27" i="45" s="1"/>
  <c r="M27" i="45" s="1"/>
  <c r="AC47" i="1"/>
  <c r="AC119" i="1"/>
  <c r="AC48" i="1"/>
  <c r="AC122" i="1"/>
  <c r="AC99" i="1"/>
  <c r="AC107" i="1"/>
  <c r="G16" i="26"/>
  <c r="R16" i="26" s="1"/>
  <c r="AC89" i="1"/>
  <c r="AC118" i="1"/>
  <c r="T225" i="1"/>
  <c r="U225" i="1" s="1"/>
  <c r="T224" i="1"/>
  <c r="T230" i="1"/>
  <c r="U230" i="1" s="1"/>
  <c r="T231" i="1"/>
  <c r="U231" i="1" s="1"/>
  <c r="T229" i="1"/>
  <c r="U229" i="1" s="1"/>
  <c r="T228" i="1"/>
  <c r="U228" i="1" s="1"/>
  <c r="L45" i="22"/>
  <c r="J45" i="22" s="1"/>
  <c r="L42" i="22"/>
  <c r="L37" i="45" s="1"/>
  <c r="M37" i="45" s="1"/>
  <c r="Y190" i="1"/>
  <c r="Y192" i="1" s="1"/>
  <c r="L47" i="22"/>
  <c r="J47" i="22" s="1"/>
  <c r="H205" i="1"/>
  <c r="J16" i="22"/>
  <c r="H36" i="3"/>
  <c r="L13" i="45"/>
  <c r="M13" i="45" s="1"/>
  <c r="W114" i="3"/>
  <c r="K113" i="3"/>
  <c r="K9" i="1"/>
  <c r="W10" i="1"/>
  <c r="H39" i="1"/>
  <c r="K40" i="1"/>
  <c r="L44" i="22"/>
  <c r="M15" i="14"/>
  <c r="J19" i="38"/>
  <c r="K19" i="38" s="1"/>
  <c r="N19" i="38" s="1"/>
  <c r="W118" i="3"/>
  <c r="E115" i="24"/>
  <c r="K117" i="3"/>
  <c r="L53" i="22"/>
  <c r="H355" i="23"/>
  <c r="E17" i="24"/>
  <c r="E25" i="24" s="1"/>
  <c r="K34" i="1"/>
  <c r="W35" i="1"/>
  <c r="K73" i="1"/>
  <c r="H72" i="1"/>
  <c r="M10" i="14"/>
  <c r="J13" i="38"/>
  <c r="K13" i="38" s="1"/>
  <c r="N13" i="38" s="1"/>
  <c r="L85" i="22"/>
  <c r="W38" i="3"/>
  <c r="K37" i="3"/>
  <c r="K82" i="1"/>
  <c r="H81" i="1"/>
  <c r="K368" i="23"/>
  <c r="W105" i="3"/>
  <c r="K379" i="23"/>
  <c r="W100" i="3"/>
  <c r="R71" i="22"/>
  <c r="L66" i="45"/>
  <c r="M66" i="45" s="1"/>
  <c r="J71" i="22"/>
  <c r="K209" i="1"/>
  <c r="W210" i="1"/>
  <c r="M16" i="14"/>
  <c r="J20" i="38"/>
  <c r="K20" i="38" s="1"/>
  <c r="N20" i="38" s="1"/>
  <c r="K91" i="1"/>
  <c r="H90" i="1"/>
  <c r="F67" i="17"/>
  <c r="F66" i="17" s="1"/>
  <c r="F13" i="17"/>
  <c r="W55" i="1"/>
  <c r="F7" i="17"/>
  <c r="F61" i="17"/>
  <c r="M17" i="14"/>
  <c r="J21" i="38"/>
  <c r="K21" i="38" s="1"/>
  <c r="N21" i="38" s="1"/>
  <c r="K365" i="23"/>
  <c r="W69" i="3"/>
  <c r="K215" i="1"/>
  <c r="W216" i="1"/>
  <c r="AA12" i="16"/>
  <c r="AC5" i="16"/>
  <c r="K375" i="23"/>
  <c r="W85" i="3"/>
  <c r="K223" i="1"/>
  <c r="R147" i="22"/>
  <c r="J147" i="22"/>
  <c r="L141" i="45"/>
  <c r="M141" i="45" s="1"/>
  <c r="I23" i="39"/>
  <c r="G21" i="39"/>
  <c r="L59" i="45"/>
  <c r="M59" i="45" s="1"/>
  <c r="R64" i="22"/>
  <c r="J64" i="22"/>
  <c r="H86" i="1"/>
  <c r="K87" i="1"/>
  <c r="K141" i="1"/>
  <c r="H140" i="1"/>
  <c r="CP31" i="11"/>
  <c r="L54" i="22"/>
  <c r="CP26" i="11"/>
  <c r="T5" i="16"/>
  <c r="F105" i="17"/>
  <c r="F106" i="17" s="1"/>
  <c r="R6" i="22"/>
  <c r="J6" i="22"/>
  <c r="L3" i="45"/>
  <c r="M3" i="45" s="1"/>
  <c r="H14" i="1"/>
  <c r="K15" i="1"/>
  <c r="L91" i="45"/>
  <c r="M91" i="45" s="1"/>
  <c r="J96" i="22"/>
  <c r="R96" i="22"/>
  <c r="J100" i="22"/>
  <c r="L95" i="45"/>
  <c r="M95" i="45" s="1"/>
  <c r="R100" i="22"/>
  <c r="K213" i="1"/>
  <c r="W214" i="1"/>
  <c r="R97" i="22"/>
  <c r="L92" i="45"/>
  <c r="M92" i="45" s="1"/>
  <c r="J97" i="22"/>
  <c r="R94" i="22"/>
  <c r="J94" i="22"/>
  <c r="L89" i="45"/>
  <c r="M89" i="45" s="1"/>
  <c r="K211" i="1"/>
  <c r="W212" i="1"/>
  <c r="L68" i="45"/>
  <c r="M68" i="45" s="1"/>
  <c r="R73" i="22"/>
  <c r="J73" i="22"/>
  <c r="F63" i="17"/>
  <c r="F9" i="17"/>
  <c r="L46" i="22"/>
  <c r="K371" i="23"/>
  <c r="W87" i="3"/>
  <c r="K86" i="3"/>
  <c r="K367" i="23"/>
  <c r="W96" i="3"/>
  <c r="R68" i="22"/>
  <c r="L63" i="45"/>
  <c r="M63" i="45" s="1"/>
  <c r="J68" i="22"/>
  <c r="K227" i="1"/>
  <c r="K201" i="1"/>
  <c r="W202" i="1"/>
  <c r="H49" i="1"/>
  <c r="K50" i="1"/>
  <c r="L51" i="22"/>
  <c r="J95" i="22"/>
  <c r="R95" i="22"/>
  <c r="L90" i="45"/>
  <c r="M90" i="45" s="1"/>
  <c r="L50" i="22"/>
  <c r="R161" i="22"/>
  <c r="L155" i="45"/>
  <c r="M155" i="45" s="1"/>
  <c r="J161" i="22"/>
  <c r="W174" i="1"/>
  <c r="K166" i="1"/>
  <c r="W167" i="1"/>
  <c r="K374" i="23"/>
  <c r="W82" i="3"/>
  <c r="K370" i="23"/>
  <c r="W104" i="3"/>
  <c r="K103" i="3"/>
  <c r="J8" i="12"/>
  <c r="J4" i="12" s="1"/>
  <c r="L43" i="22"/>
  <c r="J20" i="22"/>
  <c r="L17" i="45"/>
  <c r="M17" i="45" s="1"/>
  <c r="R20" i="22"/>
  <c r="K146" i="1"/>
  <c r="H145" i="1"/>
  <c r="H115" i="1"/>
  <c r="K116" i="1"/>
  <c r="K373" i="23"/>
  <c r="W77" i="3"/>
  <c r="T373" i="23" s="1"/>
  <c r="K76" i="3"/>
  <c r="K376" i="23"/>
  <c r="W84" i="3"/>
  <c r="K366" i="23"/>
  <c r="W94" i="3"/>
  <c r="W27" i="3"/>
  <c r="K26" i="3"/>
  <c r="W7" i="3"/>
  <c r="K6" i="3"/>
  <c r="K378" i="23"/>
  <c r="W99" i="3"/>
  <c r="K98" i="3"/>
  <c r="W122" i="3"/>
  <c r="K372" i="23"/>
  <c r="K121" i="3"/>
  <c r="J26" i="38"/>
  <c r="K26" i="38" s="1"/>
  <c r="N26" i="38" s="1"/>
  <c r="L90" i="22"/>
  <c r="M21" i="14"/>
  <c r="L29" i="45" l="1"/>
  <c r="M29" i="45" s="1"/>
  <c r="Y105" i="3"/>
  <c r="R32" i="22"/>
  <c r="J25" i="22"/>
  <c r="R25" i="22"/>
  <c r="O44" i="31"/>
  <c r="P44" i="31" s="1"/>
  <c r="R12" i="22"/>
  <c r="J136" i="22"/>
  <c r="R28" i="22"/>
  <c r="L25" i="45"/>
  <c r="M25" i="45" s="1"/>
  <c r="L11" i="45"/>
  <c r="M11" i="45" s="1"/>
  <c r="J24" i="22"/>
  <c r="R14" i="22"/>
  <c r="L36" i="45"/>
  <c r="M36" i="45" s="1"/>
  <c r="J41" i="22"/>
  <c r="J26" i="22"/>
  <c r="R40" i="22"/>
  <c r="R29" i="22"/>
  <c r="L28" i="45"/>
  <c r="M28" i="45" s="1"/>
  <c r="J27" i="22"/>
  <c r="J31" i="22"/>
  <c r="R27" i="22"/>
  <c r="J29" i="22"/>
  <c r="J48" i="22"/>
  <c r="R58" i="22"/>
  <c r="J38" i="22"/>
  <c r="R38" i="22"/>
  <c r="R48" i="22"/>
  <c r="R30" i="22"/>
  <c r="J30" i="22"/>
  <c r="Q13" i="21"/>
  <c r="H75" i="3"/>
  <c r="L31" i="45"/>
  <c r="M31" i="45" s="1"/>
  <c r="J58" i="22"/>
  <c r="J12" i="22"/>
  <c r="L4" i="45"/>
  <c r="M4" i="45" s="1"/>
  <c r="J39" i="22"/>
  <c r="J7" i="22"/>
  <c r="R34" i="22"/>
  <c r="R26" i="22"/>
  <c r="L52" i="45"/>
  <c r="M52" i="45" s="1"/>
  <c r="R39" i="22"/>
  <c r="L42" i="45"/>
  <c r="M42" i="45" s="1"/>
  <c r="L130" i="45"/>
  <c r="M130" i="45" s="1"/>
  <c r="AC174" i="1"/>
  <c r="AA99" i="3"/>
  <c r="AA27" i="3"/>
  <c r="AC214" i="1"/>
  <c r="AC216" i="1"/>
  <c r="AC55" i="1"/>
  <c r="AC10" i="1"/>
  <c r="AA94" i="3"/>
  <c r="AA85" i="3"/>
  <c r="R33" i="22"/>
  <c r="W225" i="1"/>
  <c r="J12" i="38" s="1"/>
  <c r="K12" i="38" s="1"/>
  <c r="N12" i="38" s="1"/>
  <c r="AA69" i="3"/>
  <c r="AA38" i="3"/>
  <c r="J40" i="22"/>
  <c r="AA104" i="3"/>
  <c r="L30" i="45"/>
  <c r="M30" i="45" s="1"/>
  <c r="AA100" i="3"/>
  <c r="AC35" i="1"/>
  <c r="R57" i="22"/>
  <c r="AA87" i="3"/>
  <c r="AC212" i="1"/>
  <c r="W230" i="1"/>
  <c r="J17" i="38" s="1"/>
  <c r="K17" i="38" s="1"/>
  <c r="N17" i="38" s="1"/>
  <c r="AA77" i="3"/>
  <c r="AA96" i="3"/>
  <c r="W229" i="1"/>
  <c r="M12" i="14" s="1"/>
  <c r="W1" i="3"/>
  <c r="AA82" i="3"/>
  <c r="AC167" i="1"/>
  <c r="AA105" i="3"/>
  <c r="AA118" i="3"/>
  <c r="AA122" i="3"/>
  <c r="AA7" i="3"/>
  <c r="AA84" i="3"/>
  <c r="AC202" i="1"/>
  <c r="AC210" i="1"/>
  <c r="AA114" i="3"/>
  <c r="W231" i="1"/>
  <c r="L91" i="22" s="1"/>
  <c r="R47" i="22"/>
  <c r="R45" i="22"/>
  <c r="L40" i="45"/>
  <c r="M40" i="45" s="1"/>
  <c r="T223" i="1"/>
  <c r="U224" i="1"/>
  <c r="J42" i="22"/>
  <c r="R42" i="22"/>
  <c r="J43" i="22"/>
  <c r="R43" i="22"/>
  <c r="L38" i="45"/>
  <c r="M38" i="45" s="1"/>
  <c r="L66" i="22"/>
  <c r="K14" i="1"/>
  <c r="W15" i="1"/>
  <c r="AD5" i="16"/>
  <c r="AD12" i="16" s="1"/>
  <c r="K20" i="14" s="1"/>
  <c r="G20" i="14" s="1"/>
  <c r="H20" i="14" s="1"/>
  <c r="AC12" i="16"/>
  <c r="F60" i="17"/>
  <c r="F87" i="17"/>
  <c r="F89" i="17" s="1"/>
  <c r="H71" i="1"/>
  <c r="W117" i="3"/>
  <c r="L39" i="45"/>
  <c r="M39" i="45" s="1"/>
  <c r="R44" i="22"/>
  <c r="J44" i="22"/>
  <c r="K197" i="1"/>
  <c r="K173" i="1" s="1"/>
  <c r="H173" i="1"/>
  <c r="R46" i="22"/>
  <c r="L41" i="45"/>
  <c r="M41" i="45" s="1"/>
  <c r="J46" i="22"/>
  <c r="L75" i="22"/>
  <c r="G33" i="26"/>
  <c r="R33" i="26" s="1"/>
  <c r="W211" i="1"/>
  <c r="L101" i="22"/>
  <c r="G9" i="33"/>
  <c r="Q9" i="33" s="1"/>
  <c r="W37" i="3"/>
  <c r="K72" i="1"/>
  <c r="W73" i="1"/>
  <c r="K39" i="1"/>
  <c r="W40" i="1"/>
  <c r="K36" i="3"/>
  <c r="K75" i="3" s="1"/>
  <c r="K120" i="3" s="1"/>
  <c r="K123" i="3" s="1"/>
  <c r="R51" i="22"/>
  <c r="J51" i="22"/>
  <c r="L46" i="45"/>
  <c r="M46" i="45" s="1"/>
  <c r="J54" i="22"/>
  <c r="L49" i="45"/>
  <c r="M49" i="45" s="1"/>
  <c r="R54" i="22"/>
  <c r="L80" i="22"/>
  <c r="G29" i="26"/>
  <c r="W215" i="1"/>
  <c r="L143" i="22"/>
  <c r="T379" i="23"/>
  <c r="R85" i="22"/>
  <c r="J85" i="22"/>
  <c r="L80" i="45"/>
  <c r="M80" i="45" s="1"/>
  <c r="G9" i="26"/>
  <c r="R9" i="26" s="1"/>
  <c r="W34" i="1"/>
  <c r="L159" i="22"/>
  <c r="G17" i="33"/>
  <c r="Q16" i="33" s="1"/>
  <c r="V62" i="23"/>
  <c r="T372" i="23"/>
  <c r="W121" i="3"/>
  <c r="G6" i="33"/>
  <c r="L93" i="22"/>
  <c r="W6" i="3"/>
  <c r="K49" i="1"/>
  <c r="W50" i="1"/>
  <c r="F93" i="17"/>
  <c r="F97" i="17" s="1"/>
  <c r="F62" i="17"/>
  <c r="K140" i="1"/>
  <c r="W141" i="1"/>
  <c r="K23" i="39"/>
  <c r="L141" i="22"/>
  <c r="T375" i="23"/>
  <c r="L5" i="22"/>
  <c r="G7" i="26"/>
  <c r="W9" i="1"/>
  <c r="L140" i="22"/>
  <c r="T376" i="23"/>
  <c r="K115" i="1"/>
  <c r="W116" i="1"/>
  <c r="K145" i="1"/>
  <c r="K144" i="1" s="1"/>
  <c r="W146" i="1"/>
  <c r="T370" i="23"/>
  <c r="L152" i="22"/>
  <c r="G14" i="33"/>
  <c r="Q14" i="33" s="1"/>
  <c r="W103" i="3"/>
  <c r="L149" i="22"/>
  <c r="T367" i="23"/>
  <c r="K86" i="1"/>
  <c r="W87" i="1"/>
  <c r="L129" i="22"/>
  <c r="T365" i="23"/>
  <c r="V14" i="23"/>
  <c r="L154" i="22"/>
  <c r="T368" i="23"/>
  <c r="G15" i="33"/>
  <c r="W113" i="3"/>
  <c r="L142" i="22"/>
  <c r="G13" i="33"/>
  <c r="Q13" i="33" s="1"/>
  <c r="T378" i="23"/>
  <c r="W98" i="3"/>
  <c r="K69" i="1"/>
  <c r="H54" i="1"/>
  <c r="J50" i="22"/>
  <c r="L45" i="45"/>
  <c r="M45" i="45" s="1"/>
  <c r="L72" i="22"/>
  <c r="G26" i="26"/>
  <c r="R27" i="26" s="1"/>
  <c r="W201" i="1"/>
  <c r="F107" i="17"/>
  <c r="L21" i="22"/>
  <c r="L78" i="22"/>
  <c r="W209" i="1"/>
  <c r="G32" i="26"/>
  <c r="R31" i="26" s="1"/>
  <c r="L98" i="22"/>
  <c r="G7" i="33"/>
  <c r="Q7" i="33" s="1"/>
  <c r="W26" i="3"/>
  <c r="T374" i="23"/>
  <c r="L139" i="22"/>
  <c r="G24" i="26"/>
  <c r="R24" i="26" s="1"/>
  <c r="W166" i="1"/>
  <c r="W213" i="1"/>
  <c r="G34" i="26"/>
  <c r="R32" i="26" s="1"/>
  <c r="L79" i="22"/>
  <c r="W5" i="16"/>
  <c r="T12" i="16"/>
  <c r="K90" i="1"/>
  <c r="W91" i="1"/>
  <c r="K205" i="1"/>
  <c r="H354" i="23"/>
  <c r="H353" i="23" s="1"/>
  <c r="F17" i="24"/>
  <c r="H5" i="23"/>
  <c r="K355" i="23"/>
  <c r="J90" i="22"/>
  <c r="L85" i="45"/>
  <c r="M85" i="45" s="1"/>
  <c r="R90" i="22"/>
  <c r="T366" i="23"/>
  <c r="L148" i="22"/>
  <c r="V15" i="23"/>
  <c r="G11" i="33"/>
  <c r="Q11" i="33" s="1"/>
  <c r="W76" i="3"/>
  <c r="L137" i="22"/>
  <c r="L145" i="22"/>
  <c r="V61" i="23"/>
  <c r="T371" i="23"/>
  <c r="G12" i="33"/>
  <c r="Q12" i="33" s="1"/>
  <c r="W86" i="3"/>
  <c r="T222" i="1"/>
  <c r="W228" i="1"/>
  <c r="K81" i="1"/>
  <c r="W82" i="1"/>
  <c r="L48" i="45"/>
  <c r="M48" i="45" s="1"/>
  <c r="J53" i="22"/>
  <c r="R53" i="22"/>
  <c r="E121" i="24"/>
  <c r="G115" i="24"/>
  <c r="J115" i="24" s="1"/>
  <c r="Y86" i="3" l="1"/>
  <c r="Y88" i="3" s="1"/>
  <c r="U223" i="1"/>
  <c r="M9" i="14"/>
  <c r="M13" i="14"/>
  <c r="W224" i="1"/>
  <c r="L87" i="22"/>
  <c r="L82" i="45" s="1"/>
  <c r="M82" i="45" s="1"/>
  <c r="L86" i="22"/>
  <c r="R86" i="22" s="1"/>
  <c r="M14" i="14"/>
  <c r="J18" i="38"/>
  <c r="K18" i="38" s="1"/>
  <c r="N18" i="38" s="1"/>
  <c r="H120" i="3"/>
  <c r="H8" i="1"/>
  <c r="H144" i="1"/>
  <c r="AA86" i="3"/>
  <c r="AA76" i="3"/>
  <c r="AA98" i="3"/>
  <c r="AA103" i="3"/>
  <c r="AC50" i="1"/>
  <c r="AA37" i="3"/>
  <c r="J16" i="38"/>
  <c r="K16" i="38" s="1"/>
  <c r="N16" i="38" s="1"/>
  <c r="AC229" i="1"/>
  <c r="AA26" i="3"/>
  <c r="AC201" i="1"/>
  <c r="AC215" i="1"/>
  <c r="AC231" i="1"/>
  <c r="AA6" i="3"/>
  <c r="AC34" i="1"/>
  <c r="AC87" i="1"/>
  <c r="AC211" i="1"/>
  <c r="AC225" i="1"/>
  <c r="AC82" i="1"/>
  <c r="AC213" i="1"/>
  <c r="AC141" i="1"/>
  <c r="AC40" i="1"/>
  <c r="AC15" i="1"/>
  <c r="AA113" i="3"/>
  <c r="AC146" i="1"/>
  <c r="AC166" i="1"/>
  <c r="AC209" i="1"/>
  <c r="AC9" i="1"/>
  <c r="AA121" i="3"/>
  <c r="AC228" i="1"/>
  <c r="AC91" i="1"/>
  <c r="AC116" i="1"/>
  <c r="AC73" i="1"/>
  <c r="AA117" i="3"/>
  <c r="AC230" i="1"/>
  <c r="T238" i="1"/>
  <c r="F98" i="17"/>
  <c r="W205" i="1"/>
  <c r="F90" i="17"/>
  <c r="AE5" i="16"/>
  <c r="AE12" i="16" s="1"/>
  <c r="T221" i="1"/>
  <c r="U222" i="1"/>
  <c r="L37" i="22"/>
  <c r="W90" i="1"/>
  <c r="G17" i="26"/>
  <c r="R17" i="26" s="1"/>
  <c r="J78" i="22"/>
  <c r="R78" i="22"/>
  <c r="L73" i="45"/>
  <c r="M73" i="45" s="1"/>
  <c r="W86" i="1"/>
  <c r="M5" i="14"/>
  <c r="L134" i="45"/>
  <c r="M134" i="45" s="1"/>
  <c r="R140" i="22"/>
  <c r="J140" i="22"/>
  <c r="L135" i="45"/>
  <c r="M135" i="45" s="1"/>
  <c r="R141" i="22"/>
  <c r="J141" i="22"/>
  <c r="O83" i="31"/>
  <c r="P83" i="31" s="1"/>
  <c r="R143" i="22"/>
  <c r="L137" i="45"/>
  <c r="M137" i="45" s="1"/>
  <c r="J143" i="22"/>
  <c r="K71" i="1"/>
  <c r="L133" i="45"/>
  <c r="M133" i="45" s="1"/>
  <c r="O63" i="31"/>
  <c r="P63" i="31" s="1"/>
  <c r="J139" i="22"/>
  <c r="R139" i="22"/>
  <c r="O33" i="31"/>
  <c r="P33" i="31" s="1"/>
  <c r="R152" i="22"/>
  <c r="J152" i="22"/>
  <c r="L146" i="45"/>
  <c r="M146" i="45" s="1"/>
  <c r="O59" i="31"/>
  <c r="P59" i="31" s="1"/>
  <c r="J159" i="22"/>
  <c r="R159" i="22"/>
  <c r="L153" i="45"/>
  <c r="M153" i="45" s="1"/>
  <c r="W36" i="3"/>
  <c r="R29" i="26"/>
  <c r="H28" i="26"/>
  <c r="S28" i="26" s="1"/>
  <c r="R21" i="22"/>
  <c r="J21" i="22"/>
  <c r="L18" i="45"/>
  <c r="M18" i="45" s="1"/>
  <c r="K354" i="23"/>
  <c r="K353" i="23" s="1"/>
  <c r="K5" i="23"/>
  <c r="X5" i="16"/>
  <c r="X12" i="16" s="1"/>
  <c r="K18" i="14" s="1"/>
  <c r="G18" i="14" s="1"/>
  <c r="H18" i="14" s="1"/>
  <c r="W12" i="16"/>
  <c r="K54" i="1"/>
  <c r="K8" i="1" s="1"/>
  <c r="L143" i="45"/>
  <c r="M143" i="45" s="1"/>
  <c r="R149" i="22"/>
  <c r="J149" i="22"/>
  <c r="L62" i="22"/>
  <c r="G23" i="26"/>
  <c r="W145" i="1"/>
  <c r="R91" i="22"/>
  <c r="J91" i="22"/>
  <c r="L86" i="45"/>
  <c r="M86" i="45" s="1"/>
  <c r="L60" i="22"/>
  <c r="G19" i="26"/>
  <c r="R19" i="26" s="1"/>
  <c r="W140" i="1"/>
  <c r="L88" i="45"/>
  <c r="M88" i="45" s="1"/>
  <c r="R93" i="22"/>
  <c r="J93" i="22"/>
  <c r="U7" i="31"/>
  <c r="O7" i="31"/>
  <c r="L75" i="45"/>
  <c r="M75" i="45" s="1"/>
  <c r="R80" i="22"/>
  <c r="J80" i="22"/>
  <c r="R101" i="22"/>
  <c r="J101" i="22"/>
  <c r="L96" i="45"/>
  <c r="M96" i="45" s="1"/>
  <c r="O52" i="31"/>
  <c r="P52" i="31" s="1"/>
  <c r="L61" i="45"/>
  <c r="M61" i="45" s="1"/>
  <c r="J66" i="22"/>
  <c r="R66" i="22"/>
  <c r="R79" i="22"/>
  <c r="L74" i="45"/>
  <c r="M74" i="45" s="1"/>
  <c r="J79" i="22"/>
  <c r="R154" i="22"/>
  <c r="J154" i="22"/>
  <c r="O29" i="31"/>
  <c r="P29" i="31" s="1"/>
  <c r="L148" i="45"/>
  <c r="M148" i="45" s="1"/>
  <c r="K143" i="1"/>
  <c r="Q6" i="33"/>
  <c r="G8" i="33"/>
  <c r="L131" i="45"/>
  <c r="M131" i="45" s="1"/>
  <c r="O102" i="31"/>
  <c r="P102" i="31" s="1"/>
  <c r="J137" i="22"/>
  <c r="R137" i="22"/>
  <c r="L139" i="45"/>
  <c r="M139" i="45" s="1"/>
  <c r="O58" i="31"/>
  <c r="P58" i="31" s="1"/>
  <c r="R145" i="22"/>
  <c r="J145" i="22"/>
  <c r="G17" i="24"/>
  <c r="J17" i="24" s="1"/>
  <c r="M355" i="23" s="1"/>
  <c r="F25" i="24"/>
  <c r="J98" i="22"/>
  <c r="L93" i="45"/>
  <c r="M93" i="45" s="1"/>
  <c r="R98" i="22"/>
  <c r="U8" i="31"/>
  <c r="L49" i="22"/>
  <c r="G18" i="26"/>
  <c r="R18" i="26" s="1"/>
  <c r="W115" i="1"/>
  <c r="G85" i="30"/>
  <c r="R7" i="26"/>
  <c r="L23" i="22"/>
  <c r="G10" i="26"/>
  <c r="R10" i="26" s="1"/>
  <c r="W39" i="1"/>
  <c r="L59" i="22"/>
  <c r="W81" i="1"/>
  <c r="G15" i="26"/>
  <c r="R15" i="26" s="1"/>
  <c r="Q9" i="23"/>
  <c r="M115" i="24"/>
  <c r="Q22" i="23" s="1"/>
  <c r="M8" i="14"/>
  <c r="L142" i="45"/>
  <c r="M142" i="45" s="1"/>
  <c r="O13" i="31"/>
  <c r="P13" i="31" s="1"/>
  <c r="J148" i="22"/>
  <c r="R148" i="22"/>
  <c r="J5" i="22"/>
  <c r="L2" i="45"/>
  <c r="M2" i="45" s="1"/>
  <c r="O309" i="31"/>
  <c r="R5" i="22"/>
  <c r="L70" i="45"/>
  <c r="M70" i="45" s="1"/>
  <c r="J75" i="22"/>
  <c r="R75" i="22"/>
  <c r="M11" i="14"/>
  <c r="L88" i="22"/>
  <c r="J15" i="38"/>
  <c r="L67" i="45"/>
  <c r="M67" i="45" s="1"/>
  <c r="R72" i="22"/>
  <c r="J72" i="22"/>
  <c r="O81" i="31"/>
  <c r="P81" i="31" s="1"/>
  <c r="R142" i="22"/>
  <c r="J142" i="22"/>
  <c r="L136" i="45"/>
  <c r="M136" i="45" s="1"/>
  <c r="R129" i="22"/>
  <c r="J129" i="22"/>
  <c r="L123" i="45"/>
  <c r="M123" i="45" s="1"/>
  <c r="O12" i="31"/>
  <c r="P12" i="31" s="1"/>
  <c r="L22" i="22"/>
  <c r="G11" i="26"/>
  <c r="R11" i="26" s="1"/>
  <c r="W49" i="1"/>
  <c r="W72" i="1"/>
  <c r="G14" i="26"/>
  <c r="L56" i="22"/>
  <c r="L8" i="22"/>
  <c r="G8" i="26"/>
  <c r="R8" i="26" s="1"/>
  <c r="W14" i="1"/>
  <c r="J11" i="38" l="1"/>
  <c r="K11" i="38" s="1"/>
  <c r="L84" i="22"/>
  <c r="R84" i="22" s="1"/>
  <c r="G39" i="26"/>
  <c r="R38" i="26" s="1"/>
  <c r="AC224" i="1"/>
  <c r="W223" i="1"/>
  <c r="F25" i="39" s="1"/>
  <c r="J87" i="22"/>
  <c r="L81" i="45"/>
  <c r="M81" i="45" s="1"/>
  <c r="R87" i="22"/>
  <c r="J86" i="22"/>
  <c r="H7" i="1"/>
  <c r="H143" i="1"/>
  <c r="H123" i="3"/>
  <c r="AC90" i="1"/>
  <c r="AC81" i="1"/>
  <c r="AC86" i="1"/>
  <c r="AC145" i="1"/>
  <c r="W75" i="3"/>
  <c r="W120" i="3" s="1"/>
  <c r="AA36" i="3"/>
  <c r="AC205" i="1"/>
  <c r="AC72" i="1"/>
  <c r="AC49" i="1"/>
  <c r="AC140" i="1"/>
  <c r="AC39" i="1"/>
  <c r="AC115" i="1"/>
  <c r="AC14" i="1"/>
  <c r="U238" i="1"/>
  <c r="T237" i="1"/>
  <c r="K7" i="1"/>
  <c r="U9" i="31"/>
  <c r="R56" i="22"/>
  <c r="J56" i="22"/>
  <c r="L51" i="45"/>
  <c r="M51" i="45" s="1"/>
  <c r="M354" i="23"/>
  <c r="M353" i="23" s="1"/>
  <c r="M5" i="23"/>
  <c r="R355" i="23"/>
  <c r="J8" i="33"/>
  <c r="Q8" i="33"/>
  <c r="U8" i="33" s="1"/>
  <c r="G10" i="33"/>
  <c r="G33" i="33"/>
  <c r="Y12" i="16"/>
  <c r="O28" i="26"/>
  <c r="R49" i="22"/>
  <c r="J49" i="22"/>
  <c r="L44" i="45"/>
  <c r="M44" i="45" s="1"/>
  <c r="R23" i="26"/>
  <c r="Y5" i="16"/>
  <c r="R37" i="22"/>
  <c r="L32" i="45"/>
  <c r="M32" i="45" s="1"/>
  <c r="J37" i="22"/>
  <c r="L20" i="45"/>
  <c r="M20" i="45" s="1"/>
  <c r="J23" i="22"/>
  <c r="L57" i="45"/>
  <c r="M57" i="45" s="1"/>
  <c r="R62" i="22"/>
  <c r="J62" i="22"/>
  <c r="R22" i="23"/>
  <c r="Q10" i="23"/>
  <c r="R8" i="22"/>
  <c r="J8" i="22"/>
  <c r="L5" i="45"/>
  <c r="M5" i="45" s="1"/>
  <c r="K15" i="38"/>
  <c r="Q8" i="23"/>
  <c r="R9" i="23"/>
  <c r="L55" i="45"/>
  <c r="M55" i="45" s="1"/>
  <c r="J60" i="22"/>
  <c r="R60" i="22"/>
  <c r="L19" i="45"/>
  <c r="M19" i="45" s="1"/>
  <c r="R22" i="22"/>
  <c r="J22" i="22"/>
  <c r="R88" i="22"/>
  <c r="L83" i="45"/>
  <c r="M83" i="45" s="1"/>
  <c r="J88" i="22"/>
  <c r="R14" i="26"/>
  <c r="H13" i="26"/>
  <c r="S13" i="26" s="1"/>
  <c r="U221" i="1"/>
  <c r="W222" i="1"/>
  <c r="L54" i="45"/>
  <c r="M54" i="45" s="1"/>
  <c r="R59" i="22"/>
  <c r="J59" i="22"/>
  <c r="W71" i="1"/>
  <c r="R69" i="1"/>
  <c r="T35" i="12"/>
  <c r="N4" i="12"/>
  <c r="S35" i="12"/>
  <c r="AC223" i="1" l="1"/>
  <c r="J84" i="22"/>
  <c r="J10" i="38"/>
  <c r="J35" i="38" s="1"/>
  <c r="L79" i="45"/>
  <c r="M79" i="45" s="1"/>
  <c r="H240" i="1"/>
  <c r="H126" i="3" s="1"/>
  <c r="H124" i="3"/>
  <c r="AC222" i="1"/>
  <c r="AC71" i="1"/>
  <c r="W238" i="1"/>
  <c r="AA120" i="3"/>
  <c r="AA75" i="3"/>
  <c r="U237" i="1"/>
  <c r="L92" i="22"/>
  <c r="J25" i="38"/>
  <c r="M20" i="14"/>
  <c r="T22" i="23"/>
  <c r="R10" i="23"/>
  <c r="T36" i="12"/>
  <c r="S36" i="12"/>
  <c r="R197" i="1"/>
  <c r="N15" i="38"/>
  <c r="J10" i="33"/>
  <c r="G16" i="33"/>
  <c r="Q10" i="33"/>
  <c r="U10" i="33" s="1"/>
  <c r="G34" i="33"/>
  <c r="R54" i="1"/>
  <c r="R8" i="1" s="1"/>
  <c r="R7" i="1" s="1"/>
  <c r="U69" i="1"/>
  <c r="G38" i="26"/>
  <c r="W221" i="1"/>
  <c r="J9" i="38"/>
  <c r="L83" i="22"/>
  <c r="M7" i="14"/>
  <c r="W123" i="3"/>
  <c r="T355" i="23"/>
  <c r="R354" i="23"/>
  <c r="R353" i="23" s="1"/>
  <c r="O13" i="26"/>
  <c r="R8" i="23"/>
  <c r="T9" i="23"/>
  <c r="Q7" i="23"/>
  <c r="T235" i="1"/>
  <c r="F22" i="39"/>
  <c r="K10" i="38"/>
  <c r="N11" i="38"/>
  <c r="K124" i="3" l="1"/>
  <c r="F109" i="17"/>
  <c r="F114" i="17" s="1"/>
  <c r="F7" i="19"/>
  <c r="F25" i="17"/>
  <c r="K240" i="1"/>
  <c r="H244" i="1"/>
  <c r="H237" i="1"/>
  <c r="AC221" i="1"/>
  <c r="AA123" i="3"/>
  <c r="AC238" i="1"/>
  <c r="R7" i="23"/>
  <c r="R349" i="23" s="1"/>
  <c r="R5" i="23" s="1"/>
  <c r="F21" i="39"/>
  <c r="R83" i="22"/>
  <c r="J83" i="22"/>
  <c r="L78" i="45"/>
  <c r="M78" i="45" s="1"/>
  <c r="J8" i="38"/>
  <c r="J34" i="38" s="1"/>
  <c r="K9" i="38"/>
  <c r="K25" i="38"/>
  <c r="U235" i="1"/>
  <c r="T227" i="1"/>
  <c r="T220" i="1" s="1"/>
  <c r="E25" i="39"/>
  <c r="Q349" i="23"/>
  <c r="Q5" i="23" s="1"/>
  <c r="Q360" i="23"/>
  <c r="R37" i="26"/>
  <c r="J92" i="22"/>
  <c r="L87" i="45"/>
  <c r="M87" i="45" s="1"/>
  <c r="R92" i="22"/>
  <c r="F30" i="25"/>
  <c r="F9" i="25" s="1"/>
  <c r="J8" i="30" s="1"/>
  <c r="K22" i="31"/>
  <c r="L22" i="31" s="1"/>
  <c r="T10" i="23"/>
  <c r="R173" i="1"/>
  <c r="R144" i="1" s="1"/>
  <c r="R143" i="1" s="1"/>
  <c r="R243" i="1" s="1"/>
  <c r="R5" i="1" s="1"/>
  <c r="U197" i="1"/>
  <c r="F8" i="25"/>
  <c r="T8" i="23"/>
  <c r="K7" i="31"/>
  <c r="L7" i="31" s="1"/>
  <c r="T354" i="23"/>
  <c r="T353" i="23" s="1"/>
  <c r="K309" i="31"/>
  <c r="L309" i="31" s="1"/>
  <c r="V355" i="23"/>
  <c r="W69" i="1"/>
  <c r="U54" i="1"/>
  <c r="Q15" i="33"/>
  <c r="U15" i="33" s="1"/>
  <c r="J16" i="33"/>
  <c r="G18" i="33"/>
  <c r="G30" i="33" s="1"/>
  <c r="G31" i="33" s="1"/>
  <c r="G35" i="33"/>
  <c r="M27" i="38"/>
  <c r="L308" i="31" l="1"/>
  <c r="L307" i="31" s="1"/>
  <c r="P309" i="31"/>
  <c r="P22" i="31"/>
  <c r="L8" i="31"/>
  <c r="L6" i="31"/>
  <c r="P7" i="31"/>
  <c r="U10" i="31"/>
  <c r="R360" i="23"/>
  <c r="F78" i="17"/>
  <c r="F75" i="17" s="1"/>
  <c r="F59" i="17" s="1"/>
  <c r="F58" i="17" s="1"/>
  <c r="F22" i="17"/>
  <c r="F6" i="17" s="1"/>
  <c r="F5" i="17" s="1"/>
  <c r="F14" i="19"/>
  <c r="J7" i="19"/>
  <c r="F15" i="19"/>
  <c r="W124" i="3"/>
  <c r="H220" i="1"/>
  <c r="K237" i="1"/>
  <c r="K220" i="1" s="1"/>
  <c r="W240" i="1"/>
  <c r="AK240" i="1" s="1"/>
  <c r="AC69" i="1"/>
  <c r="U8" i="1"/>
  <c r="W235" i="1"/>
  <c r="U227" i="1"/>
  <c r="F7" i="30"/>
  <c r="F7" i="25"/>
  <c r="F6" i="25" s="1"/>
  <c r="K6" i="31"/>
  <c r="M7" i="31"/>
  <c r="T7" i="23"/>
  <c r="H19" i="39"/>
  <c r="G23" i="33"/>
  <c r="M25" i="38"/>
  <c r="N25" i="38" s="1"/>
  <c r="L81" i="22"/>
  <c r="W54" i="1"/>
  <c r="G12" i="26"/>
  <c r="N9" i="38"/>
  <c r="E22" i="39"/>
  <c r="K8" i="38"/>
  <c r="M22" i="31"/>
  <c r="M8" i="31" s="1"/>
  <c r="K8" i="31"/>
  <c r="T243" i="1"/>
  <c r="T5" i="1" s="1"/>
  <c r="T219" i="1"/>
  <c r="W197" i="1"/>
  <c r="U173" i="1"/>
  <c r="F24" i="39"/>
  <c r="M309" i="31"/>
  <c r="M308" i="31" s="1"/>
  <c r="M307" i="31" s="1"/>
  <c r="K308" i="31"/>
  <c r="K307" i="31" s="1"/>
  <c r="W10" i="23"/>
  <c r="I9" i="25"/>
  <c r="Q17" i="33"/>
  <c r="J18" i="33"/>
  <c r="G36" i="33"/>
  <c r="L5" i="31" l="1"/>
  <c r="L303" i="31" s="1"/>
  <c r="L313" i="31" s="1"/>
  <c r="L3" i="31" s="1"/>
  <c r="F116" i="17"/>
  <c r="F115" i="17"/>
  <c r="J27" i="38"/>
  <c r="G41" i="26"/>
  <c r="M22" i="14"/>
  <c r="AC240" i="1"/>
  <c r="W237" i="1"/>
  <c r="N7" i="19"/>
  <c r="J14" i="19"/>
  <c r="K219" i="1"/>
  <c r="K243" i="1"/>
  <c r="K5" i="1" s="1"/>
  <c r="F16" i="19"/>
  <c r="F5" i="15"/>
  <c r="H243" i="1"/>
  <c r="H219" i="1"/>
  <c r="AA124" i="3"/>
  <c r="G19" i="33"/>
  <c r="J7" i="30" s="1"/>
  <c r="W244" i="1"/>
  <c r="V9" i="23"/>
  <c r="W125" i="3"/>
  <c r="G20" i="33" s="1"/>
  <c r="W8" i="1"/>
  <c r="AC54" i="1"/>
  <c r="U220" i="1"/>
  <c r="AC235" i="1"/>
  <c r="U144" i="1"/>
  <c r="AC197" i="1"/>
  <c r="U7" i="1"/>
  <c r="R12" i="26"/>
  <c r="H6" i="26"/>
  <c r="M6" i="31"/>
  <c r="M5" i="31" s="1"/>
  <c r="K5" i="31"/>
  <c r="K303" i="31" s="1"/>
  <c r="J81" i="22"/>
  <c r="R81" i="22"/>
  <c r="L76" i="45"/>
  <c r="M76" i="45" s="1"/>
  <c r="F26" i="39"/>
  <c r="E21" i="39"/>
  <c r="I22" i="39"/>
  <c r="I6" i="25"/>
  <c r="F93" i="25"/>
  <c r="F96" i="25" s="1"/>
  <c r="F97" i="25" s="1"/>
  <c r="Q18" i="33"/>
  <c r="U17" i="33"/>
  <c r="Q22" i="33"/>
  <c r="T349" i="23"/>
  <c r="T5" i="23" s="1"/>
  <c r="T360" i="23"/>
  <c r="F6" i="30"/>
  <c r="G5" i="30" s="1"/>
  <c r="G81" i="30" s="1"/>
  <c r="G84" i="30" s="1"/>
  <c r="L82" i="22"/>
  <c r="G25" i="26"/>
  <c r="W173" i="1"/>
  <c r="I19" i="39"/>
  <c r="M18" i="14"/>
  <c r="L89" i="22"/>
  <c r="J22" i="38"/>
  <c r="W227" i="1"/>
  <c r="G40" i="26"/>
  <c r="F28" i="17" l="1"/>
  <c r="J20" i="33"/>
  <c r="G28" i="33"/>
  <c r="N14" i="19"/>
  <c r="G20" i="19"/>
  <c r="H5" i="1"/>
  <c r="H25" i="39"/>
  <c r="AC237" i="1"/>
  <c r="U219" i="1"/>
  <c r="K5" i="15"/>
  <c r="F12" i="15"/>
  <c r="R40" i="26"/>
  <c r="K27" i="38"/>
  <c r="J24" i="38"/>
  <c r="J37" i="38" s="1"/>
  <c r="U143" i="1"/>
  <c r="AC227" i="1"/>
  <c r="W144" i="1"/>
  <c r="AC173" i="1"/>
  <c r="W7" i="1"/>
  <c r="AC8" i="1"/>
  <c r="G3" i="30"/>
  <c r="G86" i="30"/>
  <c r="R39" i="26"/>
  <c r="H37" i="26"/>
  <c r="G25" i="39"/>
  <c r="W220" i="1"/>
  <c r="K19" i="39"/>
  <c r="K22" i="39"/>
  <c r="K21" i="39" s="1"/>
  <c r="I21" i="39"/>
  <c r="M303" i="31"/>
  <c r="K313" i="31"/>
  <c r="K3" i="31" s="1"/>
  <c r="K22" i="38"/>
  <c r="J14" i="38"/>
  <c r="E24" i="39"/>
  <c r="R89" i="22"/>
  <c r="L84" i="45"/>
  <c r="M84" i="45" s="1"/>
  <c r="J89" i="22"/>
  <c r="H20" i="26"/>
  <c r="H46" i="26"/>
  <c r="S6" i="26"/>
  <c r="O6" i="26" s="1"/>
  <c r="R25" i="26"/>
  <c r="H22" i="26"/>
  <c r="R82" i="22"/>
  <c r="L77" i="45"/>
  <c r="M77" i="45" s="1"/>
  <c r="J82" i="22"/>
  <c r="J3" i="22" s="1"/>
  <c r="L3" i="22"/>
  <c r="J7" i="38" l="1"/>
  <c r="J6" i="38" s="1"/>
  <c r="H18" i="39"/>
  <c r="K24" i="38"/>
  <c r="N27" i="38"/>
  <c r="I25" i="39"/>
  <c r="G27" i="19"/>
  <c r="F30" i="19" s="1"/>
  <c r="F32" i="19" s="1"/>
  <c r="J22" i="14" s="1"/>
  <c r="G22" i="14" s="1"/>
  <c r="H22" i="14" s="1"/>
  <c r="P20" i="19"/>
  <c r="P27" i="19" s="1"/>
  <c r="K12" i="15"/>
  <c r="M5" i="15"/>
  <c r="AC7" i="1"/>
  <c r="AC220" i="1"/>
  <c r="W143" i="1"/>
  <c r="W243" i="1" s="1"/>
  <c r="AC144" i="1"/>
  <c r="U243" i="1"/>
  <c r="J36" i="38"/>
  <c r="E26" i="39"/>
  <c r="H42" i="26"/>
  <c r="S36" i="26"/>
  <c r="O36" i="26" s="1"/>
  <c r="S20" i="26"/>
  <c r="O20" i="26" s="1"/>
  <c r="M22" i="38"/>
  <c r="X14" i="16" s="1"/>
  <c r="X15" i="16" s="1"/>
  <c r="X17" i="16" s="1"/>
  <c r="G20" i="39"/>
  <c r="G25" i="33"/>
  <c r="K14" i="38"/>
  <c r="K25" i="39"/>
  <c r="W219" i="1"/>
  <c r="S22" i="26"/>
  <c r="O22" i="26" s="1"/>
  <c r="H35" i="26"/>
  <c r="S34" i="26" s="1"/>
  <c r="K7" i="38" l="1"/>
  <c r="K6" i="38" s="1"/>
  <c r="J33" i="38"/>
  <c r="S5" i="15"/>
  <c r="M12" i="15"/>
  <c r="H24" i="14"/>
  <c r="G24" i="14"/>
  <c r="G25" i="14" s="1"/>
  <c r="I18" i="39"/>
  <c r="L17" i="39"/>
  <c r="H17" i="39"/>
  <c r="U5" i="1"/>
  <c r="J32" i="38"/>
  <c r="AC219" i="1"/>
  <c r="W5" i="1"/>
  <c r="AC243" i="1"/>
  <c r="AC143" i="1"/>
  <c r="O34" i="26"/>
  <c r="Q24" i="33"/>
  <c r="G21" i="33"/>
  <c r="I20" i="39"/>
  <c r="G17" i="39"/>
  <c r="J4" i="38"/>
  <c r="N22" i="38"/>
  <c r="S42" i="26"/>
  <c r="O42" i="26" s="1"/>
  <c r="H43" i="26"/>
  <c r="K18" i="39" l="1"/>
  <c r="H24" i="39"/>
  <c r="S12" i="15"/>
  <c r="U5" i="15"/>
  <c r="S43" i="26"/>
  <c r="H45" i="26"/>
  <c r="J21" i="33"/>
  <c r="Q20" i="33"/>
  <c r="G27" i="33"/>
  <c r="G24" i="39"/>
  <c r="K20" i="39"/>
  <c r="I17" i="39"/>
  <c r="K17" i="39" l="1"/>
  <c r="K24" i="39" s="1"/>
  <c r="K26" i="39" s="1"/>
  <c r="U12" i="15"/>
  <c r="Q20" i="19"/>
  <c r="Q27" i="19" s="1"/>
  <c r="H26" i="39"/>
  <c r="G26" i="39"/>
  <c r="I24" i="39"/>
  <c r="G26" i="33"/>
  <c r="S44" i="26"/>
  <c r="O43" i="26"/>
  <c r="J28" i="33" l="1"/>
  <c r="M26" i="33"/>
  <c r="Q25" i="33"/>
  <c r="J26" i="33"/>
  <c r="I26" i="39"/>
  <c r="Q26" i="33" l="1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SPwC-X460</author>
  </authors>
  <commentList>
    <comment ref="A1" authorId="0" shapeId="0" xr:uid="{00000000-0006-0000-0D00-000001000000}">
      <text>
        <r>
          <rPr>
            <sz val="9"/>
            <color indexed="81"/>
            <rFont val="돋움"/>
            <family val="3"/>
            <charset val="129"/>
          </rPr>
          <t>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1" authorId="0" shapeId="0" xr:uid="{00000000-0006-0000-0D00-000002000000}">
      <text>
        <r>
          <rPr>
            <sz val="9"/>
            <color indexed="81"/>
            <rFont val="돋움"/>
            <family val="3"/>
            <charset val="129"/>
          </rPr>
          <t>계정과목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C1" authorId="0" shapeId="0" xr:uid="{00000000-0006-0000-0D00-000003000000}">
      <text>
        <r>
          <rPr>
            <sz val="9"/>
            <color indexed="81"/>
            <rFont val="돋움"/>
            <family val="3"/>
            <charset val="129"/>
          </rPr>
          <t>계정과목명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D1" authorId="0" shapeId="0" xr:uid="{00000000-0006-0000-0D00-000004000000}">
      <text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보고부문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1" authorId="0" shapeId="0" xr:uid="{00000000-0006-0000-0D00-000005000000}">
      <text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보고부문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) 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1" authorId="0" shapeId="0" xr:uid="{00000000-0006-0000-0D00-000006000000}">
      <text>
        <r>
          <rPr>
            <sz val="9"/>
            <color indexed="81"/>
            <rFont val="돋움"/>
            <family val="3"/>
            <charset val="129"/>
          </rPr>
          <t>해당거래의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통화코드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G1" authorId="0" shapeId="0" xr:uid="{00000000-0006-0000-0D00-000007000000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</text>
    </comment>
    <comment ref="H1" authorId="0" shapeId="0" xr:uid="{00000000-0006-0000-0D00-000008000000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회사의</t>
        </r>
        <r>
          <rPr>
            <sz val="9"/>
            <color indexed="81"/>
            <rFont val="Tahoma"/>
            <family val="2"/>
          </rPr>
          <t xml:space="preserve"> Local Currency </t>
        </r>
        <r>
          <rPr>
            <sz val="9"/>
            <color indexed="81"/>
            <rFont val="돋움"/>
            <family val="3"/>
            <charset val="129"/>
          </rPr>
          <t xml:space="preserve">코드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D00-000009000000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회사의</t>
        </r>
        <r>
          <rPr>
            <sz val="9"/>
            <color indexed="81"/>
            <rFont val="Tahoma"/>
            <family val="2"/>
          </rPr>
          <t xml:space="preserve"> Local Currency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1" authorId="0" shapeId="0" xr:uid="{00000000-0006-0000-0D00-00000A000000}">
      <text>
        <r>
          <rPr>
            <sz val="9"/>
            <color indexed="81"/>
            <rFont val="돋움"/>
            <family val="3"/>
            <charset val="129"/>
          </rPr>
          <t>IFRS 조정 내역일 경우 X 표시</t>
        </r>
      </text>
    </comment>
  </commentList>
</comments>
</file>

<file path=xl/sharedStrings.xml><?xml version="1.0" encoding="utf-8"?>
<sst xmlns="http://schemas.openxmlformats.org/spreadsheetml/2006/main" count="8484" uniqueCount="2286">
  <si>
    <t>자산</t>
  </si>
  <si>
    <t>현금및현금성자산</t>
  </si>
  <si>
    <t>재고자산</t>
  </si>
  <si>
    <t>당기법인세자산</t>
  </si>
  <si>
    <t>기타유동자산</t>
  </si>
  <si>
    <t>유형자산</t>
  </si>
  <si>
    <t>무형자산</t>
  </si>
  <si>
    <t>기타비유동자산</t>
  </si>
  <si>
    <t>부채</t>
  </si>
  <si>
    <t>유동부채</t>
  </si>
  <si>
    <t>자본금</t>
  </si>
  <si>
    <t>지배주주지분</t>
  </si>
  <si>
    <t>자본잉여금</t>
  </si>
  <si>
    <t>이익잉여금</t>
  </si>
  <si>
    <t>자본총계</t>
  </si>
  <si>
    <t>드림어스컴퍼니</t>
  </si>
  <si>
    <t>CODE_ERP</t>
  </si>
  <si>
    <t>FSC</t>
  </si>
  <si>
    <t>TB Upload</t>
  </si>
  <si>
    <t>계정과목</t>
  </si>
  <si>
    <t>I.유동자산</t>
  </si>
  <si>
    <t>보통예금(원화)</t>
  </si>
  <si>
    <t>보통예금(외화)</t>
  </si>
  <si>
    <t>매출채권및기타채권</t>
  </si>
  <si>
    <t>외상매출금(원화)</t>
  </si>
  <si>
    <t>대손충당금(외상매출금_원화)</t>
  </si>
  <si>
    <t>외상매출금(외화)</t>
  </si>
  <si>
    <t>대손충당금(외상매출금_외화)</t>
  </si>
  <si>
    <t>외상매출금(원화_추정_음원유통)</t>
  </si>
  <si>
    <t>외상매출금(원화_추정_FLO)</t>
  </si>
  <si>
    <t>외상매출금(원화_추정_일반)</t>
  </si>
  <si>
    <t>단기대여금(원화)</t>
  </si>
  <si>
    <t>미수금(원화_일반)</t>
  </si>
  <si>
    <t>미수금(외화_일반)</t>
  </si>
  <si>
    <t>미수금(원화_공연투자자산)</t>
  </si>
  <si>
    <t>미수금(외화_공연투자자산)</t>
  </si>
  <si>
    <t>미수수익</t>
  </si>
  <si>
    <t>임차보증금(유동)</t>
  </si>
  <si>
    <t>단기투자자산</t>
  </si>
  <si>
    <t>기타단기금융상품</t>
  </si>
  <si>
    <t>당기손익-공정가치측정금융자산(유동)</t>
  </si>
  <si>
    <t>기타포괄손익-공정가치측정금융자산(유동)</t>
  </si>
  <si>
    <t>상각후원가금융자산(유동)</t>
  </si>
  <si>
    <t>상품</t>
  </si>
  <si>
    <t>상품평가손실충당금</t>
  </si>
  <si>
    <t>제품</t>
  </si>
  <si>
    <t>제품평가손실충당금</t>
  </si>
  <si>
    <t>재공품</t>
  </si>
  <si>
    <t>재공품평가손실충당금</t>
  </si>
  <si>
    <t>원재료</t>
  </si>
  <si>
    <t>원재료평가손실충당금</t>
  </si>
  <si>
    <t>미착품</t>
  </si>
  <si>
    <t>선급법인세</t>
  </si>
  <si>
    <t>선급법인지방소득세</t>
  </si>
  <si>
    <t>미수법인세</t>
  </si>
  <si>
    <t>미수법인지방소득세</t>
  </si>
  <si>
    <t>선급비용(일반)</t>
  </si>
  <si>
    <t>선급비용(기타)</t>
  </si>
  <si>
    <t>선급비용(MG)</t>
  </si>
  <si>
    <t>기타유동자산(환불)</t>
  </si>
  <si>
    <t>선급금(원화_일반)</t>
  </si>
  <si>
    <t>선급금(원화_로열티)</t>
  </si>
  <si>
    <t>선급금(외화_로열티)</t>
  </si>
  <si>
    <t>선급금(외화_일반)</t>
  </si>
  <si>
    <t>선급금(원화_금형)</t>
  </si>
  <si>
    <t>선급금(원화_산업재산권)</t>
  </si>
  <si>
    <t>선급금(원화_출장)</t>
  </si>
  <si>
    <t>부가세대급금(일반)</t>
  </si>
  <si>
    <t>113350</t>
  </si>
  <si>
    <t>미수부가세</t>
  </si>
  <si>
    <t>II.비유동자산</t>
  </si>
  <si>
    <t>매출채권및기타채권(비유동)</t>
  </si>
  <si>
    <t>보증금(비유동_기타)</t>
  </si>
  <si>
    <t>전신전화가입권</t>
  </si>
  <si>
    <t>임차보증금(비유동)현재가치할인차금</t>
  </si>
  <si>
    <t>임차보증금(비유동)</t>
  </si>
  <si>
    <t>장기투자자산</t>
  </si>
  <si>
    <t>당기손익-공정가치측정금융자산(비유동)</t>
  </si>
  <si>
    <t>기타장기금융상품(비유동)</t>
  </si>
  <si>
    <t>기타포괄손익-공정가치측정금융자산(비유동)</t>
  </si>
  <si>
    <t>종속기업및관계기업투자</t>
  </si>
  <si>
    <t>종속기업투자주식</t>
  </si>
  <si>
    <t>900023</t>
  </si>
  <si>
    <t>관계기업투자주식</t>
  </si>
  <si>
    <t>기계장치</t>
  </si>
  <si>
    <t>기계장치감가상각누계액</t>
  </si>
  <si>
    <t>차량운반구</t>
  </si>
  <si>
    <t>차량운반구감가상각누계액</t>
  </si>
  <si>
    <t>차량운반구평가손실누계액</t>
  </si>
  <si>
    <t>공구와기구</t>
  </si>
  <si>
    <t>공구와기구감가상각누계액</t>
  </si>
  <si>
    <t>공구와기구평가손실누계액</t>
  </si>
  <si>
    <t>금형</t>
  </si>
  <si>
    <t>금형감가상각누계액</t>
  </si>
  <si>
    <t>금형평가손실누계액</t>
  </si>
  <si>
    <t>비품</t>
  </si>
  <si>
    <t>비품감가상각누계액</t>
  </si>
  <si>
    <t>비품평가손실누계액</t>
  </si>
  <si>
    <t>기타의유형자산</t>
  </si>
  <si>
    <t>기타의유형자산감가상각누계액</t>
  </si>
  <si>
    <t>기타의유형자산평가손실누계액</t>
  </si>
  <si>
    <t>사용권자산(건물)</t>
  </si>
  <si>
    <t>사용권자산(건물)감가상각누계액</t>
  </si>
  <si>
    <t>사용권자산(차량운반구)</t>
  </si>
  <si>
    <t>사용권자산(차량운반구)감가상각누계액</t>
  </si>
  <si>
    <t>125610</t>
  </si>
  <si>
    <t>의장권</t>
  </si>
  <si>
    <t>112620</t>
  </si>
  <si>
    <t>의장권감가상각누계액</t>
  </si>
  <si>
    <t>125700</t>
  </si>
  <si>
    <t>개발비</t>
  </si>
  <si>
    <t>125710</t>
  </si>
  <si>
    <t>개발비감가상각누계액</t>
  </si>
  <si>
    <t>125720</t>
  </si>
  <si>
    <t>개발비평가손실누계액</t>
  </si>
  <si>
    <t>특허권</t>
  </si>
  <si>
    <t>상표권</t>
  </si>
  <si>
    <t>125800</t>
  </si>
  <si>
    <t>실용신안권</t>
  </si>
  <si>
    <t>125310</t>
  </si>
  <si>
    <t>특허권감가상각누계액</t>
  </si>
  <si>
    <t>125810</t>
  </si>
  <si>
    <t>실용신안권감가상각누계액</t>
  </si>
  <si>
    <t>소프트웨어</t>
  </si>
  <si>
    <t>125920</t>
  </si>
  <si>
    <t>소프트웨어평가손실누계액</t>
  </si>
  <si>
    <t>125910</t>
  </si>
  <si>
    <t>소프트웨어감가상각누계액</t>
  </si>
  <si>
    <t>125650</t>
  </si>
  <si>
    <t>영업권</t>
  </si>
  <si>
    <t>125660</t>
  </si>
  <si>
    <t>영업권평가손실누계액</t>
  </si>
  <si>
    <t>음원음반유통권</t>
  </si>
  <si>
    <t>음원음반유통권감가상각누계액</t>
  </si>
  <si>
    <t>음악저작인접재산권</t>
  </si>
  <si>
    <t>음악저작인접재산권상각누계액</t>
  </si>
  <si>
    <t>장기선급비용</t>
  </si>
  <si>
    <t>매입채무및기타채무</t>
  </si>
  <si>
    <t>외상매입금(원화)</t>
  </si>
  <si>
    <t>외상매입금(외화)</t>
  </si>
  <si>
    <t>외상매입금(원화_추정_음원유통)</t>
  </si>
  <si>
    <t>외상매입금(원화_추정_FLO)</t>
  </si>
  <si>
    <t>외상매입금(원화_추정_고음질)</t>
  </si>
  <si>
    <t>외상매입금(원화_추정_일반)</t>
  </si>
  <si>
    <t>미지급금(원화)</t>
  </si>
  <si>
    <t>미지급금(외화)</t>
  </si>
  <si>
    <t>미지급금(공용법인카드)</t>
  </si>
  <si>
    <t>미지급금(개인법인카드)</t>
  </si>
  <si>
    <t>미지급금(수입부대비용)</t>
  </si>
  <si>
    <t>미지급금(원화_추정)</t>
  </si>
  <si>
    <t>미지급비용(원화)</t>
  </si>
  <si>
    <t>미지급비용(외화)</t>
  </si>
  <si>
    <t>미지급비용(원화_로열티)</t>
  </si>
  <si>
    <t>미지급비용(외화_로열티)</t>
  </si>
  <si>
    <t>미지급비용(연차휴가)</t>
  </si>
  <si>
    <t>임대보증금(유동)</t>
  </si>
  <si>
    <t>유동금융부채</t>
  </si>
  <si>
    <t>단기차입금(원화)</t>
  </si>
  <si>
    <t>전환사채(유동)</t>
  </si>
  <si>
    <t>전환사채상환할증금(유동)</t>
  </si>
  <si>
    <t>사채할인발행차금(유동)</t>
  </si>
  <si>
    <t>전환권조정(유동)</t>
  </si>
  <si>
    <t>기타유동부채</t>
  </si>
  <si>
    <t>선수금(원화)</t>
  </si>
  <si>
    <t>선수금(외화)</t>
  </si>
  <si>
    <t>선수금(컨텐츠)</t>
  </si>
  <si>
    <t>선수금(CMD)</t>
  </si>
  <si>
    <t>선수금(원화_가수금)</t>
  </si>
  <si>
    <t>선수수익(일반)</t>
  </si>
  <si>
    <t>선수수익(컨텐츠)</t>
  </si>
  <si>
    <t>선수수익(FLO)</t>
  </si>
  <si>
    <t>예수금(소득세)</t>
  </si>
  <si>
    <t>예수금(주민세)</t>
  </si>
  <si>
    <t>예수금(건강보험)</t>
  </si>
  <si>
    <t>예수금(국민연금)</t>
  </si>
  <si>
    <t>예수금(고용보험)</t>
  </si>
  <si>
    <t>예수금(기타)</t>
  </si>
  <si>
    <t>예수금(음반총액부가세)</t>
  </si>
  <si>
    <t>예수금(음반금융부채)</t>
  </si>
  <si>
    <t>부가세예수금</t>
  </si>
  <si>
    <t>판매보증충당부채(유동)</t>
  </si>
  <si>
    <t>계약부채</t>
  </si>
  <si>
    <t>리스부채(유동)</t>
  </si>
  <si>
    <t>II.비유동부채</t>
  </si>
  <si>
    <t>순확정급여부채</t>
  </si>
  <si>
    <t>퇴직급여충당금</t>
  </si>
  <si>
    <t>퇴직연금운용자산</t>
  </si>
  <si>
    <t>기타부채</t>
  </si>
  <si>
    <t>복구충당부채(비유동)</t>
  </si>
  <si>
    <t>리스부채(비유동)</t>
  </si>
  <si>
    <t>보통주자본금</t>
  </si>
  <si>
    <t>주식발행초과금</t>
  </si>
  <si>
    <t>전환권대가</t>
  </si>
  <si>
    <t>기타자본잉여금</t>
  </si>
  <si>
    <t>기타자본항목</t>
  </si>
  <si>
    <t>자기주식</t>
  </si>
  <si>
    <t>자기주식처분손실</t>
  </si>
  <si>
    <t>주식매수선택권</t>
  </si>
  <si>
    <t>기타자본조정</t>
  </si>
  <si>
    <t>연결1</t>
  </si>
  <si>
    <t>지분법 자본변동</t>
  </si>
  <si>
    <t>연결2</t>
  </si>
  <si>
    <t>부의 지분법 자본변동</t>
  </si>
  <si>
    <t>연결3</t>
  </si>
  <si>
    <t>해외사업환산(차)대</t>
  </si>
  <si>
    <t>보험수리적이익</t>
  </si>
  <si>
    <t>input_1</t>
  </si>
  <si>
    <t>전기이월이익잉여금</t>
  </si>
  <si>
    <t>input_2</t>
  </si>
  <si>
    <t>당기순이익</t>
  </si>
  <si>
    <t>비지배주주지분</t>
  </si>
  <si>
    <t>input_3</t>
  </si>
  <si>
    <t>부채와자본총계</t>
  </si>
  <si>
    <t>Iriver Inc</t>
  </si>
  <si>
    <t>Groovers Japan Co., Ltd.</t>
  </si>
  <si>
    <t>S.M. Life Design Company Japan Inc.</t>
  </si>
  <si>
    <t>그루버스</t>
  </si>
  <si>
    <t>Iriver Enterprise Ltd(연결)</t>
  </si>
  <si>
    <t>미지급법인세</t>
  </si>
  <si>
    <t>BS신설1</t>
  </si>
  <si>
    <t>BS신설2</t>
  </si>
  <si>
    <t>BS신설3</t>
  </si>
  <si>
    <t>BS신설4</t>
  </si>
  <si>
    <t>BS신설5</t>
  </si>
  <si>
    <t>BS신설6</t>
  </si>
  <si>
    <t>주식할인발행차금</t>
  </si>
  <si>
    <t>연결4</t>
  </si>
  <si>
    <t>단순합</t>
  </si>
  <si>
    <t>매출액</t>
  </si>
  <si>
    <t>상품매출</t>
  </si>
  <si>
    <t>제품매출</t>
  </si>
  <si>
    <t>음원유통판매매출</t>
  </si>
  <si>
    <t>음반유통수수료매출</t>
  </si>
  <si>
    <t>음원서비스매출</t>
  </si>
  <si>
    <t>고음질음원다운로드매출</t>
  </si>
  <si>
    <t>공연기획매출</t>
  </si>
  <si>
    <t>공연투자매출</t>
  </si>
  <si>
    <t>기타매출</t>
  </si>
  <si>
    <t>매출원가</t>
  </si>
  <si>
    <t>420090</t>
  </si>
  <si>
    <t>상품매출원가</t>
  </si>
  <si>
    <t>420199</t>
  </si>
  <si>
    <t>제품매출원가</t>
  </si>
  <si>
    <t>420503</t>
  </si>
  <si>
    <t>음원유통매출원가</t>
  </si>
  <si>
    <t>420502</t>
  </si>
  <si>
    <t>음반유통수수료매출원가</t>
  </si>
  <si>
    <t>420700</t>
  </si>
  <si>
    <t>음원서비스매출원가</t>
  </si>
  <si>
    <t>420800</t>
  </si>
  <si>
    <t>고음질음원다운로드매출원가</t>
  </si>
  <si>
    <t>420900</t>
  </si>
  <si>
    <t>공연기획매출원가</t>
  </si>
  <si>
    <t>421000</t>
  </si>
  <si>
    <t>공연투자매출원가</t>
  </si>
  <si>
    <t>420500</t>
  </si>
  <si>
    <t>기타매출원가</t>
  </si>
  <si>
    <t>매출총이익</t>
  </si>
  <si>
    <t>판매비와관리비</t>
  </si>
  <si>
    <t>621000</t>
  </si>
  <si>
    <t>급여</t>
  </si>
  <si>
    <t>622000</t>
  </si>
  <si>
    <t>퇴직급여</t>
  </si>
  <si>
    <t>623000</t>
  </si>
  <si>
    <t>복리후생비</t>
  </si>
  <si>
    <t>624000</t>
  </si>
  <si>
    <t>여비교통비</t>
  </si>
  <si>
    <t>625000</t>
  </si>
  <si>
    <t>접대비</t>
  </si>
  <si>
    <t>626000</t>
  </si>
  <si>
    <t>통신비</t>
  </si>
  <si>
    <t>627000</t>
  </si>
  <si>
    <t>수도광열비</t>
  </si>
  <si>
    <t>628000</t>
  </si>
  <si>
    <t>세금과공과</t>
  </si>
  <si>
    <t>630000</t>
  </si>
  <si>
    <t>임차료</t>
  </si>
  <si>
    <t>631000</t>
  </si>
  <si>
    <t>수선비</t>
  </si>
  <si>
    <t>632000</t>
  </si>
  <si>
    <t>보험료</t>
  </si>
  <si>
    <t>633000</t>
  </si>
  <si>
    <t>차량유지비</t>
  </si>
  <si>
    <t>634000</t>
  </si>
  <si>
    <t>경상개발비</t>
  </si>
  <si>
    <t>635000</t>
  </si>
  <si>
    <t>운반비</t>
  </si>
  <si>
    <t>636000</t>
  </si>
  <si>
    <t>포장비</t>
  </si>
  <si>
    <t>637000</t>
  </si>
  <si>
    <t>교육훈련비</t>
  </si>
  <si>
    <t>638000</t>
  </si>
  <si>
    <t>도서인쇄비</t>
  </si>
  <si>
    <t>639000</t>
  </si>
  <si>
    <t>소모품비</t>
  </si>
  <si>
    <t>640000</t>
  </si>
  <si>
    <t>지급수수료</t>
  </si>
  <si>
    <t>641000</t>
  </si>
  <si>
    <t>광고선전비</t>
  </si>
  <si>
    <t>642000</t>
  </si>
  <si>
    <t>해외시장개척비</t>
  </si>
  <si>
    <t>643000</t>
  </si>
  <si>
    <t>대손상각비</t>
  </si>
  <si>
    <t>644000</t>
  </si>
  <si>
    <t>수출제비용</t>
  </si>
  <si>
    <t>646000</t>
  </si>
  <si>
    <t>견본비</t>
  </si>
  <si>
    <t>647000</t>
  </si>
  <si>
    <t>제품보증수리비용</t>
  </si>
  <si>
    <t>649000</t>
  </si>
  <si>
    <t>복구충당부채전입액</t>
  </si>
  <si>
    <t>648000</t>
  </si>
  <si>
    <t>잡비</t>
  </si>
  <si>
    <t>영업이익</t>
  </si>
  <si>
    <t>금융수익</t>
  </si>
  <si>
    <t>711111</t>
  </si>
  <si>
    <t>이자수익(예금이자)</t>
  </si>
  <si>
    <t>711191</t>
  </si>
  <si>
    <t>이자수익(기타)</t>
  </si>
  <si>
    <t>711901</t>
  </si>
  <si>
    <t>외환차익(공정가치측정금융상품)</t>
  </si>
  <si>
    <t>711902</t>
  </si>
  <si>
    <t>외환차익(상각후원가측정자산)</t>
  </si>
  <si>
    <t>711903</t>
  </si>
  <si>
    <t>외환차익(상각후원가측정부채)</t>
  </si>
  <si>
    <t>712102</t>
  </si>
  <si>
    <t>외화환산이익(상각후원가측정자산)</t>
  </si>
  <si>
    <t>712103</t>
  </si>
  <si>
    <t>외화환산이익(상각후원가측정부채)</t>
  </si>
  <si>
    <t>713580</t>
  </si>
  <si>
    <t>당기손익공정가치측정금융자산평가이익</t>
  </si>
  <si>
    <t>713900</t>
  </si>
  <si>
    <t>당기손익공정가치측정금융자산처분이익</t>
  </si>
  <si>
    <t>금융비용</t>
  </si>
  <si>
    <t>731100</t>
  </si>
  <si>
    <t>이자비용(사채)</t>
  </si>
  <si>
    <t>731200</t>
  </si>
  <si>
    <t>이자비용(차입금)</t>
  </si>
  <si>
    <t>731400</t>
  </si>
  <si>
    <t>이자비용(리스부채)</t>
  </si>
  <si>
    <t>731702</t>
  </si>
  <si>
    <t>외환차손(상각후원가측정자산)</t>
  </si>
  <si>
    <t>731703</t>
  </si>
  <si>
    <t>외환차손(상각후원가측정부채)</t>
  </si>
  <si>
    <t>731701</t>
  </si>
  <si>
    <t>외환차손(공정가치측정금융상품)</t>
  </si>
  <si>
    <t>731902</t>
  </si>
  <si>
    <t>외화환산손실(상각후원가측정자산)</t>
  </si>
  <si>
    <t>731903</t>
  </si>
  <si>
    <t>외화환산손실(상각후원가측정부채)</t>
  </si>
  <si>
    <t>IS신설1</t>
  </si>
  <si>
    <t>당기손익공정가치측정금융자산평가손실</t>
  </si>
  <si>
    <t>IS신설2</t>
  </si>
  <si>
    <t>당기손익공정가치측정금융자산처분손실</t>
  </si>
  <si>
    <t>기타영업외수익</t>
  </si>
  <si>
    <t>712700</t>
  </si>
  <si>
    <t xml:space="preserve"> 유형자산처분이익</t>
  </si>
  <si>
    <t>712800</t>
  </si>
  <si>
    <t xml:space="preserve"> 무형자산처분이익</t>
  </si>
  <si>
    <t>713499</t>
  </si>
  <si>
    <t xml:space="preserve"> 잡이익</t>
  </si>
  <si>
    <t>기타영업외비용</t>
  </si>
  <si>
    <t>732800</t>
  </si>
  <si>
    <t xml:space="preserve"> 무형자산평가손실</t>
  </si>
  <si>
    <t>732900</t>
  </si>
  <si>
    <t xml:space="preserve"> 유형자산처분손실</t>
  </si>
  <si>
    <t>733280</t>
  </si>
  <si>
    <t xml:space="preserve"> 소송충당부채전입액</t>
  </si>
  <si>
    <t>733300</t>
  </si>
  <si>
    <t xml:space="preserve"> 잡손실</t>
  </si>
  <si>
    <t>관계기업투자</t>
  </si>
  <si>
    <t>연결IS_1</t>
  </si>
  <si>
    <t>지분법이익(손실)</t>
  </si>
  <si>
    <t>연결IS_2</t>
  </si>
  <si>
    <t>관계기업투자주식처분이익(손실)</t>
  </si>
  <si>
    <t>연결IS_3</t>
  </si>
  <si>
    <t>지분법적용투자주식손상차손</t>
  </si>
  <si>
    <t>종속기업투자주식손상차손</t>
  </si>
  <si>
    <t>732360</t>
  </si>
  <si>
    <t>법인세비용차감전순손익</t>
  </si>
  <si>
    <t>법인세비용</t>
  </si>
  <si>
    <t>5110000</t>
  </si>
  <si>
    <t>당기순이익(손실)</t>
  </si>
  <si>
    <t>연결IS_4</t>
  </si>
  <si>
    <t>연결IS_5</t>
  </si>
  <si>
    <t>유형자산상각비</t>
  </si>
  <si>
    <t>무형자산상각비</t>
  </si>
  <si>
    <t>이자비용(기타)</t>
  </si>
  <si>
    <t>IS신설3</t>
  </si>
  <si>
    <t>629000</t>
  </si>
  <si>
    <t>645000</t>
  </si>
  <si>
    <t>1.0. 기초조정</t>
  </si>
  <si>
    <t>CS합병시 주식할인차금 제거 (2015년)</t>
  </si>
  <si>
    <t>CODE</t>
  </si>
  <si>
    <t>2018 4Q</t>
  </si>
  <si>
    <t>2019 1Q</t>
  </si>
  <si>
    <t>2019 2Q</t>
  </si>
  <si>
    <t xml:space="preserve">2019 3Q </t>
  </si>
  <si>
    <t>2019 4Q</t>
  </si>
  <si>
    <t>합병차익취소</t>
  </si>
  <si>
    <t>ICS 합병시 처리</t>
  </si>
  <si>
    <t>MPMAN 합병시 처리</t>
  </si>
  <si>
    <t>이월이익잉여금</t>
  </si>
  <si>
    <t>2.0. Scope</t>
  </si>
  <si>
    <t xml:space="preserve">3.0. 내부거래 </t>
  </si>
  <si>
    <t>DR</t>
  </si>
  <si>
    <t>CR</t>
  </si>
  <si>
    <t>NET</t>
  </si>
  <si>
    <t>채권채무상계</t>
  </si>
  <si>
    <t>수익비용상계</t>
  </si>
  <si>
    <t>4.0. 미실현손익</t>
  </si>
  <si>
    <t>5.0. 공정가치차액</t>
  </si>
  <si>
    <t>AK-100,120,240,380</t>
  </si>
  <si>
    <t>결산일 현재 재고 금액</t>
  </si>
  <si>
    <t>아이리버 &gt; iriver inc 하향판매</t>
  </si>
  <si>
    <t>구분</t>
  </si>
  <si>
    <t>매출총이익률</t>
  </si>
  <si>
    <t>미실현손익</t>
  </si>
  <si>
    <t>아이리버 &gt; ent. 하향판매</t>
  </si>
  <si>
    <t>groovers JP</t>
  </si>
  <si>
    <t>제품(AK-100)</t>
  </si>
  <si>
    <t>제품(기타)</t>
  </si>
  <si>
    <t>당기순이익_I/S</t>
  </si>
  <si>
    <t>관계사 채권에 대한 대손충당금</t>
  </si>
  <si>
    <t>Enterprise</t>
  </si>
  <si>
    <t>Iriver Inc.</t>
  </si>
  <si>
    <t>Groovers JP</t>
  </si>
  <si>
    <t>대손충당금</t>
  </si>
  <si>
    <t>합계</t>
  </si>
  <si>
    <t>SMLDC</t>
  </si>
  <si>
    <t>독접적 판매권 공정가치차액 상각</t>
  </si>
  <si>
    <t>금액(in JPY)</t>
  </si>
  <si>
    <t>내용연수(월)</t>
  </si>
  <si>
    <t xml:space="preserve">2017 Q4 </t>
  </si>
  <si>
    <t xml:space="preserve">2018 Q1 </t>
  </si>
  <si>
    <t xml:space="preserve">2018 Q2 </t>
  </si>
  <si>
    <t xml:space="preserve">2018 Q3 </t>
  </si>
  <si>
    <t xml:space="preserve">2018 Q4 </t>
  </si>
  <si>
    <t xml:space="preserve">2019 Q1 </t>
  </si>
  <si>
    <t xml:space="preserve">2019 Q2 </t>
  </si>
  <si>
    <t xml:space="preserve">2019 Q3 </t>
  </si>
  <si>
    <t xml:space="preserve">2019 Q4 </t>
  </si>
  <si>
    <t xml:space="preserve">2020 Q1 </t>
  </si>
  <si>
    <t xml:space="preserve">2020 Q2 </t>
  </si>
  <si>
    <t xml:space="preserve">2020 Q3 </t>
  </si>
  <si>
    <t xml:space="preserve">2020 Q4 </t>
  </si>
  <si>
    <t xml:space="preserve">2021 Q1 </t>
  </si>
  <si>
    <t xml:space="preserve">2021 Q2 </t>
  </si>
  <si>
    <t xml:space="preserve">2021 Q3 </t>
  </si>
  <si>
    <t xml:space="preserve">2021 Q4 </t>
  </si>
  <si>
    <t>무형자산-기타의무형자산</t>
  </si>
  <si>
    <t>판매비와관리비-무형자산상각비</t>
  </si>
  <si>
    <t>법인세비용-법인세비용</t>
  </si>
  <si>
    <t>이연법인세부채-유동이연법인세부채</t>
  </si>
  <si>
    <t>IN JPY</t>
  </si>
  <si>
    <t>IN KRW</t>
  </si>
  <si>
    <t>기말환율</t>
  </si>
  <si>
    <t>평균환율</t>
  </si>
  <si>
    <t>공정가조정</t>
  </si>
  <si>
    <t>투자Code</t>
  </si>
  <si>
    <t>영업권 발생Center</t>
  </si>
  <si>
    <t>기초</t>
  </si>
  <si>
    <t>범위변동</t>
  </si>
  <si>
    <t>손상인식</t>
  </si>
  <si>
    <t>연결조정</t>
  </si>
  <si>
    <t>기타조정</t>
  </si>
  <si>
    <t>증감</t>
  </si>
  <si>
    <t>최초발생</t>
  </si>
  <si>
    <t>아이리버CS</t>
  </si>
  <si>
    <t>손상차손인식</t>
  </si>
  <si>
    <t>신규취득</t>
  </si>
  <si>
    <t>SMMCJP</t>
  </si>
  <si>
    <t>CURRENCY</t>
  </si>
  <si>
    <t>JPY</t>
  </si>
  <si>
    <t>KRW</t>
  </si>
  <si>
    <t>In local currency</t>
  </si>
  <si>
    <t>In KRW</t>
  </si>
  <si>
    <t>환산</t>
  </si>
  <si>
    <t>비고</t>
  </si>
  <si>
    <t>N/A</t>
  </si>
  <si>
    <t>SMMC(드림어스별도)</t>
  </si>
  <si>
    <t>손상&amp;환산</t>
  </si>
  <si>
    <t>무형자산처분손실</t>
  </si>
  <si>
    <t>IS신설4</t>
  </si>
  <si>
    <t>대사</t>
  </si>
  <si>
    <t>이연법인세부채(비유동)</t>
  </si>
  <si>
    <t>무형자산평가손실(손상차손)</t>
  </si>
  <si>
    <t>연결5</t>
  </si>
  <si>
    <t>6.0. 기타조정</t>
  </si>
  <si>
    <t>감가상각비</t>
  </si>
  <si>
    <t>연결조정합계</t>
  </si>
  <si>
    <t>7.0. 지분법</t>
  </si>
  <si>
    <t>8.0. 투자자본상계</t>
  </si>
  <si>
    <t>NCE</t>
  </si>
  <si>
    <t>AS-IS</t>
  </si>
  <si>
    <t>TO-BE</t>
  </si>
  <si>
    <t>ADJ.</t>
  </si>
  <si>
    <t>기본추정값</t>
  </si>
  <si>
    <t>조정액</t>
  </si>
  <si>
    <t>연결BS</t>
  </si>
  <si>
    <t>Entity</t>
  </si>
  <si>
    <t>유효지분율</t>
  </si>
  <si>
    <t>Scope</t>
  </si>
  <si>
    <t>No.</t>
  </si>
  <si>
    <t>투자회사</t>
  </si>
  <si>
    <t>피투자회사</t>
  </si>
  <si>
    <t>소재지</t>
  </si>
  <si>
    <t>2017년말</t>
  </si>
  <si>
    <t>2018년말</t>
  </si>
  <si>
    <t>법정지분율</t>
  </si>
  <si>
    <t>iriver Enterprise Ltd.</t>
  </si>
  <si>
    <t>홍콩</t>
  </si>
  <si>
    <t>iriver Inc.</t>
  </si>
  <si>
    <t>미국</t>
  </si>
  <si>
    <t>groovers Japan Co., Ltd</t>
  </si>
  <si>
    <t>일본</t>
  </si>
  <si>
    <t>LIFE DESIGN COMPANY Inc.</t>
  </si>
  <si>
    <t>SM Mobile Communications Japan Inc</t>
  </si>
  <si>
    <t>2018년 중 Groovers JP에 합병(7/1)</t>
  </si>
  <si>
    <t>(주)그루버스</t>
  </si>
  <si>
    <t>한국</t>
  </si>
  <si>
    <t>iriver China Co., Ltd.</t>
  </si>
  <si>
    <t>중국</t>
  </si>
  <si>
    <t>Dongguan iriver Electronics Co., Ltd.</t>
  </si>
  <si>
    <t>연결</t>
  </si>
  <si>
    <t>CE</t>
  </si>
  <si>
    <t>FVOCI평가손익</t>
  </si>
  <si>
    <t>지분법자본변동</t>
  </si>
  <si>
    <t>보험수리적손익</t>
  </si>
  <si>
    <t>당기자본</t>
  </si>
  <si>
    <t>전기자본</t>
  </si>
  <si>
    <t>SMMC JP</t>
  </si>
  <si>
    <t>자본변동</t>
  </si>
  <si>
    <t>유상증자</t>
  </si>
  <si>
    <t>건설중인자산</t>
  </si>
  <si>
    <t>(환산)</t>
  </si>
  <si>
    <t>연결조정(영업권)</t>
  </si>
  <si>
    <t>연결조정(기타)</t>
  </si>
  <si>
    <t>기타</t>
  </si>
  <si>
    <t>연결 I/S</t>
  </si>
  <si>
    <t>관계회사 재무정보</t>
  </si>
  <si>
    <t>#</t>
    <phoneticPr fontId="0" type="noConversion"/>
  </si>
  <si>
    <t>계정명</t>
  </si>
  <si>
    <t>BS</t>
    <phoneticPr fontId="0" type="noConversion"/>
  </si>
  <si>
    <t>유동자산</t>
  </si>
  <si>
    <t>비유동자산</t>
  </si>
  <si>
    <t>비유동부채</t>
  </si>
  <si>
    <t>자본</t>
  </si>
  <si>
    <t>IS</t>
    <phoneticPr fontId="0" type="noConversion"/>
  </si>
  <si>
    <t>영업이익(손실)</t>
  </si>
  <si>
    <t>기타포괄손익</t>
  </si>
  <si>
    <t>총포괄손익</t>
  </si>
  <si>
    <t>수령배당금</t>
  </si>
  <si>
    <t>관계회사_그루버스</t>
  </si>
  <si>
    <t>I/S당기순이익</t>
  </si>
  <si>
    <t>종속기업투자주식손상차손 reverse</t>
  </si>
  <si>
    <t>ENT,  INC., groovers jp 매출재분류 (연결관점에서는 Inc.의 매출이 제품매출)</t>
  </si>
  <si>
    <t>(*)</t>
  </si>
  <si>
    <t>기말</t>
  </si>
  <si>
    <t>투자회사</t>
    <phoneticPr fontId="8" type="noConversion"/>
  </si>
  <si>
    <t>피투자회사</t>
    <phoneticPr fontId="6" type="noConversion"/>
  </si>
  <si>
    <t>종속회사 지배회사자본(a1)</t>
    <phoneticPr fontId="8" type="noConversion"/>
  </si>
  <si>
    <t>공정가 조정(a2)</t>
  </si>
  <si>
    <t>지분법조정</t>
    <phoneticPr fontId="8" type="noConversion"/>
  </si>
  <si>
    <t>미실현손익</t>
    <phoneticPr fontId="8" type="noConversion"/>
  </si>
  <si>
    <t>기타</t>
    <phoneticPr fontId="8" type="noConversion"/>
  </si>
  <si>
    <t>합계(a1+a2+a3+a4)</t>
    <phoneticPr fontId="8" type="noConversion"/>
  </si>
  <si>
    <t>비지배유효지분율</t>
  </si>
  <si>
    <t>비지배지분A</t>
  </si>
  <si>
    <t>투자주식금액(b1)</t>
  </si>
  <si>
    <t>영업권미상각액(b2)</t>
  </si>
  <si>
    <t>합계(b1-b2)</t>
  </si>
  <si>
    <t>중복계산지분율</t>
    <phoneticPr fontId="6" type="noConversion"/>
  </si>
  <si>
    <t>비지배지분B</t>
  </si>
  <si>
    <t>비지배지분(A-B)</t>
    <phoneticPr fontId="6" type="noConversion"/>
  </si>
  <si>
    <t>자체 비지배지분</t>
    <phoneticPr fontId="6" type="noConversion"/>
  </si>
  <si>
    <t>비지배지분추정값</t>
    <phoneticPr fontId="6" type="noConversion"/>
  </si>
  <si>
    <t>N/A</t>
    <phoneticPr fontId="8" type="noConversion"/>
  </si>
  <si>
    <t>SMC</t>
  </si>
  <si>
    <t>Other</t>
    <phoneticPr fontId="6" type="noConversion"/>
  </si>
  <si>
    <t>NCI 검증</t>
    <phoneticPr fontId="6" type="noConversion"/>
  </si>
  <si>
    <t>회사명</t>
  </si>
  <si>
    <t>지배회사순이익</t>
    <phoneticPr fontId="6" type="noConversion"/>
  </si>
  <si>
    <t>1차조정</t>
    <phoneticPr fontId="6" type="noConversion"/>
  </si>
  <si>
    <t>2차조정</t>
    <phoneticPr fontId="6" type="noConversion"/>
  </si>
  <si>
    <t>TB수정</t>
    <phoneticPr fontId="6" type="noConversion"/>
  </si>
  <si>
    <t>미실현손익조정</t>
    <phoneticPr fontId="6" type="noConversion"/>
  </si>
  <si>
    <t>Fair Value상각 등</t>
    <phoneticPr fontId="6" type="noConversion"/>
  </si>
  <si>
    <t>조정NI</t>
    <phoneticPr fontId="6" type="noConversion"/>
  </si>
  <si>
    <t>비지배_유효지분율</t>
  </si>
  <si>
    <t>시산비지배손익</t>
    <phoneticPr fontId="6" type="noConversion"/>
  </si>
  <si>
    <t>비지배회사지분NI</t>
    <phoneticPr fontId="6" type="noConversion"/>
  </si>
  <si>
    <t>Total</t>
    <phoneticPr fontId="6" type="noConversion"/>
  </si>
  <si>
    <t>시산표대사</t>
    <phoneticPr fontId="6" type="noConversion"/>
  </si>
  <si>
    <t>차액</t>
    <phoneticPr fontId="6" type="noConversion"/>
  </si>
  <si>
    <t>NCE 검증</t>
    <phoneticPr fontId="6" type="noConversion"/>
  </si>
  <si>
    <t>기초NCE</t>
    <phoneticPr fontId="6" type="noConversion"/>
  </si>
  <si>
    <t>NCI</t>
    <phoneticPr fontId="6" type="noConversion"/>
  </si>
  <si>
    <t>매도가능평가손익</t>
    <phoneticPr fontId="6" type="noConversion"/>
  </si>
  <si>
    <t>지분법자본변동</t>
    <phoneticPr fontId="6" type="noConversion"/>
  </si>
  <si>
    <t>해외사업환산손익</t>
    <phoneticPr fontId="6" type="noConversion"/>
  </si>
  <si>
    <t>보험수리적손익</t>
    <phoneticPr fontId="6" type="noConversion"/>
  </si>
  <si>
    <t>배당</t>
    <phoneticPr fontId="6" type="noConversion"/>
  </si>
  <si>
    <t>증가(감소)</t>
    <phoneticPr fontId="6" type="noConversion"/>
  </si>
  <si>
    <t>자본거래손익</t>
    <phoneticPr fontId="6" type="noConversion"/>
  </si>
  <si>
    <t>기타</t>
    <phoneticPr fontId="6" type="noConversion"/>
  </si>
  <si>
    <t>기말NCE</t>
    <phoneticPr fontId="6" type="noConversion"/>
  </si>
  <si>
    <t>검증</t>
    <phoneticPr fontId="6" type="noConversion"/>
  </si>
  <si>
    <t>NI</t>
  </si>
  <si>
    <t>지배지분</t>
  </si>
  <si>
    <t>other adj.</t>
  </si>
  <si>
    <t>diff'</t>
  </si>
  <si>
    <t>-</t>
  </si>
  <si>
    <t>상품매출(내수)</t>
  </si>
  <si>
    <t>상품매출환입(내수)</t>
  </si>
  <si>
    <t>상품매출(수출)</t>
  </si>
  <si>
    <t>상품매출환입(수출)</t>
  </si>
  <si>
    <t>제품매출(내수)</t>
  </si>
  <si>
    <t>제품매출환입(내수)</t>
  </si>
  <si>
    <t>제품매출할인및에누리(수출)</t>
  </si>
  <si>
    <t>제품매출(수출)</t>
  </si>
  <si>
    <t>제품매출환입(수출)</t>
  </si>
  <si>
    <t>유형감가/차량운반구</t>
  </si>
  <si>
    <t>유형감가/비품</t>
  </si>
  <si>
    <t>유형감가/기타유형</t>
  </si>
  <si>
    <t>사용권감가/건물</t>
  </si>
  <si>
    <t>사용권감가/차량운반구</t>
  </si>
  <si>
    <t>연결법인코드</t>
  </si>
  <si>
    <t>계정번호</t>
  </si>
  <si>
    <t xml:space="preserve">G/L 계정설명 </t>
  </si>
  <si>
    <t>사업영역</t>
  </si>
  <si>
    <t>손익센터</t>
  </si>
  <si>
    <t>거래통화코드</t>
  </si>
  <si>
    <t>T198</t>
  </si>
  <si>
    <t>현금-원화</t>
  </si>
  <si>
    <t>보통예금</t>
  </si>
  <si>
    <t>단기금융상품</t>
  </si>
  <si>
    <t>외상매출금</t>
  </si>
  <si>
    <t>대손충당금(매출채권)</t>
  </si>
  <si>
    <t>외화외상매출금</t>
  </si>
  <si>
    <t>미수금</t>
  </si>
  <si>
    <t>선급금</t>
  </si>
  <si>
    <t>선급비용</t>
  </si>
  <si>
    <t>기계장치 감가상각누계액</t>
  </si>
  <si>
    <t>차량운반구 감가상각누계액</t>
  </si>
  <si>
    <t>차량운반구 감액손실누계액</t>
  </si>
  <si>
    <t>공구와기구 감가상각누계액</t>
  </si>
  <si>
    <t>공구와기구 감액손실누계액</t>
  </si>
  <si>
    <t>비품 감가상각누계액</t>
  </si>
  <si>
    <t>비품 감액손실누계액</t>
  </si>
  <si>
    <t>산업재산권</t>
  </si>
  <si>
    <t>기타의무형자산</t>
  </si>
  <si>
    <t>매입채무</t>
  </si>
  <si>
    <t>선수수익</t>
  </si>
  <si>
    <t>미지급금</t>
  </si>
  <si>
    <t>선수금</t>
  </si>
  <si>
    <t>예수금</t>
  </si>
  <si>
    <t>미지급세금</t>
  </si>
  <si>
    <t>미지급비용</t>
  </si>
  <si>
    <t>유동성장기부채-전환사채(유동)</t>
  </si>
  <si>
    <t>유동성장기부채-사할차(유동)</t>
  </si>
  <si>
    <t>유동성장기부채-전환권조정(유동)</t>
  </si>
  <si>
    <t>반품추정부채(유동)</t>
  </si>
  <si>
    <t>확정급여채무</t>
  </si>
  <si>
    <t>사외적립자산-퇴직보험등</t>
  </si>
  <si>
    <t>이연법인세부채</t>
  </si>
  <si>
    <t>기타의자본잉여금</t>
  </si>
  <si>
    <t>자본조정-기타</t>
  </si>
  <si>
    <t>상품매출-국내</t>
  </si>
  <si>
    <t>제품매출-국내</t>
  </si>
  <si>
    <t>상품매출-수출</t>
  </si>
  <si>
    <t>제품매출-수출</t>
  </si>
  <si>
    <t>감가상각비-공기구비품</t>
  </si>
  <si>
    <t>감가상각비-차량운반구</t>
  </si>
  <si>
    <t>이자수익</t>
  </si>
  <si>
    <t>외환차익</t>
  </si>
  <si>
    <t>외화환산이익</t>
  </si>
  <si>
    <t>단기금융상품평가이익</t>
  </si>
  <si>
    <t>단기금융상품처분이익</t>
  </si>
  <si>
    <t>유형자산처분이익</t>
  </si>
  <si>
    <t>무형자산처분이익</t>
  </si>
  <si>
    <t>잡이익</t>
  </si>
  <si>
    <t>이자비용</t>
  </si>
  <si>
    <t>외환차손</t>
  </si>
  <si>
    <t>외화환산손실</t>
  </si>
  <si>
    <t>단기금융상품평가손실</t>
  </si>
  <si>
    <t>소송충당부채전입</t>
  </si>
  <si>
    <t>무형자산손상차손</t>
  </si>
  <si>
    <t>유형자산처분손실</t>
  </si>
  <si>
    <t>잡손실</t>
  </si>
  <si>
    <t>기타유동자산-환불</t>
  </si>
  <si>
    <t>수익</t>
  </si>
  <si>
    <t>비용</t>
  </si>
  <si>
    <t>CFSItemNam</t>
  </si>
  <si>
    <t>A10000</t>
  </si>
  <si>
    <t>영업활동으로 인한 현금흐름</t>
  </si>
  <si>
    <t>A11000</t>
  </si>
  <si>
    <t>A11010</t>
  </si>
  <si>
    <t>당기순이익(Value)</t>
  </si>
  <si>
    <t>A12000</t>
  </si>
  <si>
    <t>현금의 유출이 없는 비용등의 가산</t>
  </si>
  <si>
    <t>A12010</t>
  </si>
  <si>
    <t>A12020</t>
  </si>
  <si>
    <t>A12030</t>
  </si>
  <si>
    <t>A12040</t>
  </si>
  <si>
    <t>A12050</t>
  </si>
  <si>
    <t>A12060</t>
  </si>
  <si>
    <t>단기매매증권처분손실</t>
  </si>
  <si>
    <t>A12070</t>
  </si>
  <si>
    <t>단기매매증권평가손실</t>
  </si>
  <si>
    <t>A12100</t>
  </si>
  <si>
    <t>만기보유증권처분손실</t>
  </si>
  <si>
    <t>A12110</t>
  </si>
  <si>
    <t>만기보유증권손상차손</t>
  </si>
  <si>
    <t>A12120</t>
  </si>
  <si>
    <t>지분법주식처분손실</t>
  </si>
  <si>
    <t>A12130</t>
  </si>
  <si>
    <t>지분법손실</t>
  </si>
  <si>
    <t>A12140</t>
  </si>
  <si>
    <t>지분법주식손상차손</t>
  </si>
  <si>
    <t>A12150</t>
  </si>
  <si>
    <t>투자부동산처분손실</t>
  </si>
  <si>
    <t>A12160</t>
  </si>
  <si>
    <t>투자부동산손상차손</t>
  </si>
  <si>
    <t>A12170</t>
  </si>
  <si>
    <t>파생상품평가손실</t>
  </si>
  <si>
    <t>A12180</t>
  </si>
  <si>
    <t>파생상품거래손실</t>
  </si>
  <si>
    <t>A12190</t>
  </si>
  <si>
    <t>기타투자자산처분손실</t>
  </si>
  <si>
    <t>A12200</t>
  </si>
  <si>
    <t>기타투자자산손상차손</t>
  </si>
  <si>
    <t>A12210</t>
  </si>
  <si>
    <t>A12220</t>
  </si>
  <si>
    <t>유형자산손상차손</t>
  </si>
  <si>
    <t>A12230</t>
  </si>
  <si>
    <t>유형자산폐기손실</t>
  </si>
  <si>
    <t>A12240</t>
  </si>
  <si>
    <t>A12250</t>
  </si>
  <si>
    <t>A12260</t>
  </si>
  <si>
    <t>재고자산평가손실</t>
  </si>
  <si>
    <t>A12270</t>
  </si>
  <si>
    <t>재고자산감모손실</t>
  </si>
  <si>
    <t>A12280</t>
  </si>
  <si>
    <t>재고자산매각손실</t>
  </si>
  <si>
    <t>A12290</t>
  </si>
  <si>
    <t>재고자산폐기손실</t>
  </si>
  <si>
    <t>A12300</t>
  </si>
  <si>
    <t>매출채권처분손실</t>
  </si>
  <si>
    <t>A12310</t>
  </si>
  <si>
    <t>자원개발투자손실</t>
  </si>
  <si>
    <t>A12320</t>
  </si>
  <si>
    <t>사채상환손실</t>
  </si>
  <si>
    <t>A12330</t>
  </si>
  <si>
    <t>사채할인발행차금상각</t>
  </si>
  <si>
    <t>A12340</t>
  </si>
  <si>
    <t>현재가치할인차금상각</t>
  </si>
  <si>
    <t>A12350</t>
  </si>
  <si>
    <t>전환권조정의 상각</t>
  </si>
  <si>
    <t>A12360</t>
  </si>
  <si>
    <t>주식보상비용</t>
  </si>
  <si>
    <t>A12370</t>
  </si>
  <si>
    <t>영업권상각비</t>
  </si>
  <si>
    <t>A12380</t>
  </si>
  <si>
    <t>기타의대손상각비</t>
  </si>
  <si>
    <t>A12390</t>
  </si>
  <si>
    <t>운휴자산감가상각비</t>
  </si>
  <si>
    <t>A12400</t>
  </si>
  <si>
    <t>A12410</t>
  </si>
  <si>
    <t>전기오류수정손실</t>
  </si>
  <si>
    <t>A12420</t>
  </si>
  <si>
    <t>기타특별손실</t>
  </si>
  <si>
    <t>A12430</t>
  </si>
  <si>
    <t>중단사업손실</t>
  </si>
  <si>
    <t>A12440</t>
  </si>
  <si>
    <t>A12450</t>
  </si>
  <si>
    <t>통화스왑평가손실</t>
  </si>
  <si>
    <t>A12460</t>
  </si>
  <si>
    <t>이자율스왑평가손실</t>
  </si>
  <si>
    <t>A12470</t>
  </si>
  <si>
    <t>미수금처분손실</t>
  </si>
  <si>
    <t>A12480</t>
  </si>
  <si>
    <t>차입금상환손실</t>
  </si>
  <si>
    <t>A12490</t>
  </si>
  <si>
    <t>A12500</t>
  </si>
  <si>
    <t>A12510</t>
  </si>
  <si>
    <t>A12520</t>
  </si>
  <si>
    <t>확정계약평가손실</t>
  </si>
  <si>
    <t>A12530</t>
  </si>
  <si>
    <t>매각예정자산처분손실</t>
  </si>
  <si>
    <t>A12540</t>
  </si>
  <si>
    <t>당기손익인식금융자산평가손실</t>
  </si>
  <si>
    <t>A12550</t>
  </si>
  <si>
    <t>당기손익인식금융자산처분손실</t>
  </si>
  <si>
    <t>A12560</t>
  </si>
  <si>
    <t>상각후원가인식금융자산처분손실</t>
  </si>
  <si>
    <t>A12570</t>
  </si>
  <si>
    <t>기타포괄손익인식금융자산처분손실</t>
  </si>
  <si>
    <t>A12580</t>
  </si>
  <si>
    <t>기타포괄손익인식금융자산손상차손</t>
  </si>
  <si>
    <t>A12590</t>
  </si>
  <si>
    <t>상각후원가인식금융자산손상차손</t>
  </si>
  <si>
    <t>A12600</t>
  </si>
  <si>
    <t>당기손익인식금융부채평가손실</t>
  </si>
  <si>
    <t>A12990</t>
  </si>
  <si>
    <t>기타비용</t>
  </si>
  <si>
    <t>A13000</t>
  </si>
  <si>
    <t>현금의 유입이 없는 수익등의 차감</t>
  </si>
  <si>
    <t>A13010</t>
  </si>
  <si>
    <t>A13020</t>
  </si>
  <si>
    <t>단기매매증권처분이익</t>
  </si>
  <si>
    <t>A13030</t>
  </si>
  <si>
    <t>단기매매증권평가이익</t>
  </si>
  <si>
    <t>A13060</t>
  </si>
  <si>
    <t>만기보유증권처분이익</t>
  </si>
  <si>
    <t>A13070</t>
  </si>
  <si>
    <t>만기보유증권손상차손환입</t>
  </si>
  <si>
    <t>A13080</t>
  </si>
  <si>
    <t>지분법주식처분이익</t>
  </si>
  <si>
    <t>A13090</t>
  </si>
  <si>
    <t>지분법이익</t>
  </si>
  <si>
    <t>A13100</t>
  </si>
  <si>
    <t>지분법주식손상차손환입</t>
  </si>
  <si>
    <t>A13110</t>
  </si>
  <si>
    <t>투자부동산처분이익</t>
  </si>
  <si>
    <t>A13120</t>
  </si>
  <si>
    <t>투자부동산손상차손환입</t>
  </si>
  <si>
    <t>A13130</t>
  </si>
  <si>
    <t>파생상품평가이익</t>
  </si>
  <si>
    <t>A13140</t>
  </si>
  <si>
    <t>파생상품거래이익</t>
  </si>
  <si>
    <t>A13150</t>
  </si>
  <si>
    <t>기타투자자산처분이익</t>
  </si>
  <si>
    <t>A13160</t>
  </si>
  <si>
    <t>기타투자자산손상차손환입</t>
  </si>
  <si>
    <t>A13170</t>
  </si>
  <si>
    <t>A13180</t>
  </si>
  <si>
    <t>유형자산손상차손환입</t>
  </si>
  <si>
    <t>A13190</t>
  </si>
  <si>
    <t>A13200</t>
  </si>
  <si>
    <t>무형자산손상차손환입</t>
  </si>
  <si>
    <t>A13210</t>
  </si>
  <si>
    <t>재고자산평가손실환입</t>
  </si>
  <si>
    <t>A13220</t>
  </si>
  <si>
    <t>부채성충당금환입액</t>
  </si>
  <si>
    <t>A13230</t>
  </si>
  <si>
    <t>대손충당금 환입</t>
  </si>
  <si>
    <t>A13240</t>
  </si>
  <si>
    <t>사채할인발행차금상각환입</t>
  </si>
  <si>
    <t>A13250</t>
  </si>
  <si>
    <t>현재가치할인차금상각환입</t>
  </si>
  <si>
    <t>A13260</t>
  </si>
  <si>
    <t>부의 영업권 환입</t>
  </si>
  <si>
    <t>A13270</t>
  </si>
  <si>
    <t>사채상환이익</t>
  </si>
  <si>
    <t>A13280</t>
  </si>
  <si>
    <t>채무면제이익</t>
  </si>
  <si>
    <t>A13290</t>
  </si>
  <si>
    <t>기타의 특별이익</t>
  </si>
  <si>
    <t>A13300</t>
  </si>
  <si>
    <t>전기오류수정익</t>
  </si>
  <si>
    <t>A13310</t>
  </si>
  <si>
    <t>자산수증이익</t>
  </si>
  <si>
    <t>A13320</t>
  </si>
  <si>
    <t>보험차익</t>
  </si>
  <si>
    <t>A13330</t>
  </si>
  <si>
    <t>통화옵션거래이익</t>
  </si>
  <si>
    <t>A13340</t>
  </si>
  <si>
    <t>이자율스왑평가이익</t>
  </si>
  <si>
    <t>A13350</t>
  </si>
  <si>
    <t>중단사업이익</t>
  </si>
  <si>
    <t>A13360</t>
  </si>
  <si>
    <t>주식보상비용환입</t>
  </si>
  <si>
    <t>A13370</t>
  </si>
  <si>
    <t>영업양도차익</t>
  </si>
  <si>
    <t>A13380</t>
  </si>
  <si>
    <t>A13390</t>
  </si>
  <si>
    <t>배당금수익(지주)</t>
  </si>
  <si>
    <t>A13400</t>
  </si>
  <si>
    <t>확정계약평가이익</t>
  </si>
  <si>
    <t>A13410</t>
  </si>
  <si>
    <t>매각예정자산처분이익</t>
  </si>
  <si>
    <t>A13420</t>
  </si>
  <si>
    <t>당기손익인식금융자산평가이익</t>
  </si>
  <si>
    <t>A13430</t>
  </si>
  <si>
    <t>당기손익인식금융자산처분이익</t>
  </si>
  <si>
    <t>A13440</t>
  </si>
  <si>
    <t>상각후원가인식금융자산처분이익</t>
  </si>
  <si>
    <t>A13450</t>
  </si>
  <si>
    <t>기타포괄손익인식금융자산처분이익</t>
  </si>
  <si>
    <t>A13470</t>
  </si>
  <si>
    <t>기타포괄손익인식금융자산손상차손환입</t>
  </si>
  <si>
    <t>A13480</t>
  </si>
  <si>
    <t>상각후원가인식금융자산손상차손환입</t>
  </si>
  <si>
    <t>A13490</t>
  </si>
  <si>
    <t>당기손익인식금융부채평가이익</t>
  </si>
  <si>
    <t>A13500</t>
  </si>
  <si>
    <t>배당금수익-지분법적용투자주식</t>
  </si>
  <si>
    <t>A13510</t>
  </si>
  <si>
    <t>배당금수익-당기손익인식금융자산</t>
  </si>
  <si>
    <t>A13520</t>
  </si>
  <si>
    <t>배당금수익-기타포괄손익인식금융자산</t>
  </si>
  <si>
    <t>A13990</t>
  </si>
  <si>
    <t>기타수익</t>
  </si>
  <si>
    <t>A14000</t>
  </si>
  <si>
    <t>영업활동으로 인한 자산부채의 변동</t>
  </si>
  <si>
    <t>A14010</t>
  </si>
  <si>
    <t>매출채권의 감소(증가)</t>
  </si>
  <si>
    <t>A14020</t>
  </si>
  <si>
    <t>미수금의 감소(증가)</t>
  </si>
  <si>
    <t>A14030</t>
  </si>
  <si>
    <t>미수수익의 감소(증가)</t>
  </si>
  <si>
    <t>A14040</t>
  </si>
  <si>
    <t>선급금의 감소(증가)</t>
  </si>
  <si>
    <t>A14050</t>
  </si>
  <si>
    <t>선급공사비의 감소(증가)</t>
  </si>
  <si>
    <t>A14060</t>
  </si>
  <si>
    <t>선급비용의 감소(증가)</t>
  </si>
  <si>
    <t>A14070</t>
  </si>
  <si>
    <t>예치보증금의 감소(증가)</t>
  </si>
  <si>
    <t>A14080</t>
  </si>
  <si>
    <t>이연법인세자산의 감소(증가)</t>
  </si>
  <si>
    <t>A14090</t>
  </si>
  <si>
    <t>부가세대급금의 감소(증가)</t>
  </si>
  <si>
    <t>A14100</t>
  </si>
  <si>
    <t>재고자산의 감소(증가)</t>
  </si>
  <si>
    <t>A14110</t>
  </si>
  <si>
    <t>영업권의 감소(증가)</t>
  </si>
  <si>
    <t>A14120</t>
  </si>
  <si>
    <t>부의 영업권의 증가(감소)</t>
  </si>
  <si>
    <t>A14130</t>
  </si>
  <si>
    <t>지분법적용투자주식 배당금 수령</t>
  </si>
  <si>
    <t>A14140</t>
  </si>
  <si>
    <t>선급법인세의 감소(증가)</t>
  </si>
  <si>
    <t>A14150</t>
  </si>
  <si>
    <t>장기매출채권의 감소(증가)</t>
  </si>
  <si>
    <t>A14160</t>
  </si>
  <si>
    <t>장기미수금의 감소(증가)</t>
  </si>
  <si>
    <t>A14170</t>
  </si>
  <si>
    <t>장기예치보증금의 감소(증가)</t>
  </si>
  <si>
    <t>A14180</t>
  </si>
  <si>
    <t>장기선급비용의 감소(증가)</t>
  </si>
  <si>
    <t>A14190</t>
  </si>
  <si>
    <t>매입채무의 증가(감소)</t>
  </si>
  <si>
    <t>A14200</t>
  </si>
  <si>
    <t>선수금의 증가(감소)</t>
  </si>
  <si>
    <t>A14210</t>
  </si>
  <si>
    <t>예수금의 증가(감소)</t>
  </si>
  <si>
    <t>A14220</t>
  </si>
  <si>
    <t>선수수익의 증가(감소)</t>
  </si>
  <si>
    <t>A14230</t>
  </si>
  <si>
    <t>미지급금의 증가(감소)</t>
  </si>
  <si>
    <t>A14240</t>
  </si>
  <si>
    <t>미지급비용의 증가(감소)</t>
  </si>
  <si>
    <t>A14250</t>
  </si>
  <si>
    <t>예수부가세의 증가(감소)</t>
  </si>
  <si>
    <t>A14260</t>
  </si>
  <si>
    <t>이연법인세부채의 증가(감소)</t>
  </si>
  <si>
    <t>A14270</t>
  </si>
  <si>
    <t>기타의 유동부채의 증가(감소)</t>
  </si>
  <si>
    <t>A14280</t>
  </si>
  <si>
    <t>유동부채성충당금의 증가(감소)</t>
  </si>
  <si>
    <t>A14290</t>
  </si>
  <si>
    <t>퇴직보험예치금의 증가(감소)</t>
  </si>
  <si>
    <t>A14300</t>
  </si>
  <si>
    <t>국민연금전환금의 증가(감소)</t>
  </si>
  <si>
    <t>A14310</t>
  </si>
  <si>
    <t>퇴직보험사외적립자산의 증가(감소)</t>
  </si>
  <si>
    <t>A14320</t>
  </si>
  <si>
    <t>장기외상매입금의 증가(감소)</t>
  </si>
  <si>
    <t>A14330</t>
  </si>
  <si>
    <t>장기미지급금의 증가(감소)</t>
  </si>
  <si>
    <t>A14340</t>
  </si>
  <si>
    <t>예수보증금의 증가(감소)</t>
  </si>
  <si>
    <t>A14350</t>
  </si>
  <si>
    <t>장기부채성충당금의 증가(감소)</t>
  </si>
  <si>
    <t>A14360</t>
  </si>
  <si>
    <t>장기미지급비용의 증가(감소)</t>
  </si>
  <si>
    <t>A14370</t>
  </si>
  <si>
    <t>퇴직금의 지급</t>
  </si>
  <si>
    <t>A14380</t>
  </si>
  <si>
    <t>미지급법인세의 증가(감소)</t>
  </si>
  <si>
    <t>A14390</t>
  </si>
  <si>
    <t>미수법인세환급액의 감소(증가)</t>
  </si>
  <si>
    <t>A14400</t>
  </si>
  <si>
    <t>미지급보증금의 증가(감소)</t>
  </si>
  <si>
    <t>A14410</t>
  </si>
  <si>
    <t>당기손익인식금융자산의 감소(증가)</t>
  </si>
  <si>
    <t>A14420</t>
  </si>
  <si>
    <t>영업활동 관련 파생상품의 감소(증가)</t>
  </si>
  <si>
    <t>A14430</t>
  </si>
  <si>
    <t>차량운반구(영업용자산)의 취득</t>
  </si>
  <si>
    <t>A14440</t>
  </si>
  <si>
    <t>차량운반구(영업용자산)의 처분</t>
  </si>
  <si>
    <t>A14990</t>
  </si>
  <si>
    <t>기타영업활동으로 인한 현금흐름</t>
  </si>
  <si>
    <t>A15060</t>
  </si>
  <si>
    <t>유동계약자산의 감소(증가)</t>
  </si>
  <si>
    <t>A15070</t>
  </si>
  <si>
    <t>비유동계약자산의 감소(증가)</t>
  </si>
  <si>
    <t>A15080</t>
  </si>
  <si>
    <t>유동계약부채의 증가(감소)</t>
  </si>
  <si>
    <t>A15090</t>
  </si>
  <si>
    <t>비유동계약부채의 증가(감소)</t>
  </si>
  <si>
    <t>A15000</t>
  </si>
  <si>
    <t>직접법에 의한 영업활동 현금흐름</t>
  </si>
  <si>
    <t>A15010</t>
  </si>
  <si>
    <t>배당금의 수취</t>
  </si>
  <si>
    <t>A15020</t>
  </si>
  <si>
    <t>이자수취</t>
  </si>
  <si>
    <t>A15030</t>
  </si>
  <si>
    <t>이자지급</t>
  </si>
  <si>
    <t>A15040</t>
  </si>
  <si>
    <t>법인세의 납부</t>
  </si>
  <si>
    <t>A15050</t>
  </si>
  <si>
    <t>법인세의 환급</t>
  </si>
  <si>
    <t>B10000</t>
  </si>
  <si>
    <t>투자활동으로 인한 현금흐름</t>
  </si>
  <si>
    <t>B11000</t>
  </si>
  <si>
    <t>투자활동으로 인한 현금유입액</t>
  </si>
  <si>
    <t>B11010</t>
  </si>
  <si>
    <t>단기대여금의 회수</t>
  </si>
  <si>
    <t>B11020</t>
  </si>
  <si>
    <t>단기금융상품의 처분</t>
  </si>
  <si>
    <t>B11030</t>
  </si>
  <si>
    <t>기타당좌자산의 감소</t>
  </si>
  <si>
    <t>B11040</t>
  </si>
  <si>
    <t>장기금융상품의 처분</t>
  </si>
  <si>
    <t>B11050</t>
  </si>
  <si>
    <t>장기대여금의 회수</t>
  </si>
  <si>
    <t>B11060</t>
  </si>
  <si>
    <t>자원개발투자자산의 감소</t>
  </si>
  <si>
    <t>B11070</t>
  </si>
  <si>
    <t>예수보증금의 증가</t>
  </si>
  <si>
    <t>B11080</t>
  </si>
  <si>
    <t>예치보증금의 감소</t>
  </si>
  <si>
    <t>B11090</t>
  </si>
  <si>
    <t>(투자)미수금의 감소</t>
  </si>
  <si>
    <t>B11100</t>
  </si>
  <si>
    <t>(투자)미지급금의 증가</t>
  </si>
  <si>
    <t>B11110</t>
  </si>
  <si>
    <t>(투자)선급비용의 감소</t>
  </si>
  <si>
    <t>B11120</t>
  </si>
  <si>
    <t>단기매매증권의 처분</t>
  </si>
  <si>
    <t>B11140</t>
  </si>
  <si>
    <t>만기보유증권의 처분</t>
  </si>
  <si>
    <t>B11150</t>
  </si>
  <si>
    <t>지분법투자주식의 처분</t>
  </si>
  <si>
    <t>B11160</t>
  </si>
  <si>
    <t>연결대상투자주식의 처분</t>
  </si>
  <si>
    <t>B11170</t>
  </si>
  <si>
    <t>연결범위제외로 인한 현금의 증가</t>
  </si>
  <si>
    <t>B11180</t>
  </si>
  <si>
    <t>투자부동산의 처분</t>
  </si>
  <si>
    <t>B11190</t>
  </si>
  <si>
    <t>매각예정자산의 처분</t>
  </si>
  <si>
    <t>B11200</t>
  </si>
  <si>
    <t>파생상품의 감소</t>
  </si>
  <si>
    <t>B11210</t>
  </si>
  <si>
    <t>기타투자자산의 감소</t>
  </si>
  <si>
    <t>B11220</t>
  </si>
  <si>
    <t>토지의 처분</t>
  </si>
  <si>
    <t>B11230</t>
  </si>
  <si>
    <t>건물의 처분</t>
  </si>
  <si>
    <t>B11240</t>
  </si>
  <si>
    <t>구축물의 처분</t>
  </si>
  <si>
    <t>B11250</t>
  </si>
  <si>
    <t>탱크의 처분</t>
  </si>
  <si>
    <t>B11260</t>
  </si>
  <si>
    <t>기계장치의 처분</t>
  </si>
  <si>
    <t>B11270</t>
  </si>
  <si>
    <t>장거리송유관의 처분</t>
  </si>
  <si>
    <t>B11280</t>
  </si>
  <si>
    <t>차량운반구의 처분</t>
  </si>
  <si>
    <t>B11290</t>
  </si>
  <si>
    <t>선박의 처분</t>
  </si>
  <si>
    <t>B11300</t>
  </si>
  <si>
    <t>B11310</t>
  </si>
  <si>
    <t>배관의 처분</t>
  </si>
  <si>
    <t>B11320</t>
  </si>
  <si>
    <t>촉매의 처분</t>
  </si>
  <si>
    <t>B11330</t>
  </si>
  <si>
    <t>건설중인 자산의 처분</t>
  </si>
  <si>
    <t>B11340</t>
  </si>
  <si>
    <t>기타유형자산의 처분</t>
  </si>
  <si>
    <t>B11350</t>
  </si>
  <si>
    <t>영업권의 처분</t>
  </si>
  <si>
    <t>B11360</t>
  </si>
  <si>
    <t>시설사용이용권의 처분</t>
  </si>
  <si>
    <t>B11370</t>
  </si>
  <si>
    <t>산업재산권의 처분</t>
  </si>
  <si>
    <t>B11380</t>
  </si>
  <si>
    <t>임차권리권의 처분</t>
  </si>
  <si>
    <t>B11390</t>
  </si>
  <si>
    <t>주파수이용권의 처분</t>
  </si>
  <si>
    <t>B11400</t>
  </si>
  <si>
    <t>회원권의 처분</t>
  </si>
  <si>
    <t>B11410</t>
  </si>
  <si>
    <t>기타무형자산의 처분</t>
  </si>
  <si>
    <t>B11420</t>
  </si>
  <si>
    <t>금융리스자산의 처분</t>
  </si>
  <si>
    <t>B11430</t>
  </si>
  <si>
    <t>사업부매각 및 영업의 양도</t>
  </si>
  <si>
    <t>B11440</t>
  </si>
  <si>
    <t>배당금 수령</t>
  </si>
  <si>
    <t>B11450</t>
  </si>
  <si>
    <t>장기대출채권의 감소</t>
  </si>
  <si>
    <t>B11460</t>
  </si>
  <si>
    <t>국고보조금의수령</t>
  </si>
  <si>
    <t>B11470</t>
  </si>
  <si>
    <t>단기투자자산의 감소</t>
  </si>
  <si>
    <t>B11480</t>
  </si>
  <si>
    <t>영업양도로인한 현금유입</t>
  </si>
  <si>
    <t>B11490</t>
  </si>
  <si>
    <t>통화스왑거래로인한현금유입</t>
  </si>
  <si>
    <t>B11500</t>
  </si>
  <si>
    <t>통화옵션거래로인한현금유입</t>
  </si>
  <si>
    <t>B11510</t>
  </si>
  <si>
    <t>당기손익인식금융자산의 처분</t>
  </si>
  <si>
    <t>B11520</t>
  </si>
  <si>
    <t>기타포괄손익인식금융자산의 처분</t>
  </si>
  <si>
    <t>B11530</t>
  </si>
  <si>
    <t>상각후원가인식금융자산의 처분</t>
  </si>
  <si>
    <t>B11550</t>
  </si>
  <si>
    <t>당기손익인식금융부채의 처분</t>
  </si>
  <si>
    <t>B11990</t>
  </si>
  <si>
    <t>기타투자유입</t>
  </si>
  <si>
    <t>B12000</t>
  </si>
  <si>
    <t>투자활동으로 인한 현금유출액</t>
  </si>
  <si>
    <t>B12010</t>
  </si>
  <si>
    <t>단기대여금의 증가</t>
  </si>
  <si>
    <t>B12020</t>
  </si>
  <si>
    <t>단기금융상품의 취득</t>
  </si>
  <si>
    <t>B12030</t>
  </si>
  <si>
    <t>기타당좌자산의 증가</t>
  </si>
  <si>
    <t>B12040</t>
  </si>
  <si>
    <t>장기금융상품의 취득</t>
  </si>
  <si>
    <t>B12050</t>
  </si>
  <si>
    <t>장기대여금의 증가</t>
  </si>
  <si>
    <t>B12060</t>
  </si>
  <si>
    <t>자원개발투자자산의 증가</t>
  </si>
  <si>
    <t>B12070</t>
  </si>
  <si>
    <t>예수보증금의 감소</t>
  </si>
  <si>
    <t>B12080</t>
  </si>
  <si>
    <t>예치보증금의 증가</t>
  </si>
  <si>
    <t>B12090</t>
  </si>
  <si>
    <t>(투자)선급비용의 증가</t>
  </si>
  <si>
    <t>B12100</t>
  </si>
  <si>
    <t>(투자)미수금의 증가</t>
  </si>
  <si>
    <t>B12110</t>
  </si>
  <si>
    <t>(투자)미지급금의 감소</t>
  </si>
  <si>
    <t>B12120</t>
  </si>
  <si>
    <t>단기매매증권의 취득</t>
  </si>
  <si>
    <t>B12140</t>
  </si>
  <si>
    <t>만기보유증권의 취득</t>
  </si>
  <si>
    <t>B12150</t>
  </si>
  <si>
    <t>지분법투자주식의 취득</t>
  </si>
  <si>
    <t>B12160</t>
  </si>
  <si>
    <t>연결대상투자주식의 취득</t>
  </si>
  <si>
    <t>B12170</t>
  </si>
  <si>
    <t>연결범위포함으로 인한 현금의 감소</t>
  </si>
  <si>
    <t>B12180</t>
  </si>
  <si>
    <t>투자부동산의 취득</t>
  </si>
  <si>
    <t>B12190</t>
  </si>
  <si>
    <t>매각예정자산의 증가</t>
  </si>
  <si>
    <t>B12200</t>
  </si>
  <si>
    <t>파생상품의 증가</t>
  </si>
  <si>
    <t>B12210</t>
  </si>
  <si>
    <t>기타투자자산의 취득</t>
  </si>
  <si>
    <t>B12220</t>
  </si>
  <si>
    <t>토지의 취득</t>
  </si>
  <si>
    <t>B12230</t>
  </si>
  <si>
    <t>건물의 취득</t>
  </si>
  <si>
    <t>B12240</t>
  </si>
  <si>
    <t>구축물의 취득</t>
  </si>
  <si>
    <t>B12250</t>
  </si>
  <si>
    <t>탱크의 취득</t>
  </si>
  <si>
    <t>B12260</t>
  </si>
  <si>
    <t>기계장치의 취득</t>
  </si>
  <si>
    <t>B12270</t>
  </si>
  <si>
    <t>장거리송유관의 취득</t>
  </si>
  <si>
    <t>B12280</t>
  </si>
  <si>
    <t>차량운반구의 취득</t>
  </si>
  <si>
    <t>B12290</t>
  </si>
  <si>
    <t>선박의 취득</t>
  </si>
  <si>
    <t>B12300</t>
  </si>
  <si>
    <t>B12310</t>
  </si>
  <si>
    <t>배관의 취득</t>
  </si>
  <si>
    <t>B12320</t>
  </si>
  <si>
    <t>촉매의 취득</t>
  </si>
  <si>
    <t>B12330</t>
  </si>
  <si>
    <t>건설중인 자산의 취득</t>
  </si>
  <si>
    <t>B12340</t>
  </si>
  <si>
    <t>기타유형자산의 취득</t>
  </si>
  <si>
    <t>B12350</t>
  </si>
  <si>
    <t>개발비의 증가</t>
  </si>
  <si>
    <t>B12360</t>
  </si>
  <si>
    <t>영업권의 취득</t>
  </si>
  <si>
    <t>B12370</t>
  </si>
  <si>
    <t>부의영업권의 발생</t>
  </si>
  <si>
    <t>B12380</t>
  </si>
  <si>
    <t>시설사용이용권의 취득</t>
  </si>
  <si>
    <t>B12390</t>
  </si>
  <si>
    <t>산업재산권의 취득</t>
  </si>
  <si>
    <t>B12400</t>
  </si>
  <si>
    <t>임차권리권의 취득</t>
  </si>
  <si>
    <t>B12410</t>
  </si>
  <si>
    <t>주파수이용권의 취득</t>
  </si>
  <si>
    <t>B12420</t>
  </si>
  <si>
    <t>회원권의 취득</t>
  </si>
  <si>
    <t>B12430</t>
  </si>
  <si>
    <t>기타무형자산의 취득</t>
  </si>
  <si>
    <t>B12440</t>
  </si>
  <si>
    <t>금융리스자산의 취득</t>
  </si>
  <si>
    <t>B12450</t>
  </si>
  <si>
    <t>장기대출채권의 증가</t>
  </si>
  <si>
    <t>B12460</t>
  </si>
  <si>
    <t>선급금-고정자산의 증가</t>
    <phoneticPr fontId="6" type="noConversion"/>
  </si>
  <si>
    <t>B12470</t>
  </si>
  <si>
    <t>단기투자자산의 증가</t>
  </si>
  <si>
    <t>B12480</t>
  </si>
  <si>
    <t>영업양수로인한 현금유출</t>
  </si>
  <si>
    <t>B12490</t>
  </si>
  <si>
    <t>통화스왑거래로인한현금유출</t>
  </si>
  <si>
    <t>B12500</t>
  </si>
  <si>
    <t>통화옵션거래로인한현금유출</t>
  </si>
  <si>
    <t>B12510</t>
  </si>
  <si>
    <t>당기손익인식금융자산의 취득</t>
  </si>
  <si>
    <t>B12520</t>
  </si>
  <si>
    <t>기타포괄손익인식금융자산의 취득</t>
  </si>
  <si>
    <t>B12530</t>
  </si>
  <si>
    <t>상각후원가인식금융자산의 취득</t>
  </si>
  <si>
    <t>B12550</t>
  </si>
  <si>
    <t>당기손익인식금융부채의 취득</t>
  </si>
  <si>
    <t>B12990</t>
  </si>
  <si>
    <t>기타투자유출</t>
  </si>
  <si>
    <t>C10000</t>
  </si>
  <si>
    <t>재무활동으로 인한 현금흐름</t>
  </si>
  <si>
    <t>C11000</t>
  </si>
  <si>
    <t>재무활동으로 인한 현금유입액</t>
  </si>
  <si>
    <t>C11010</t>
  </si>
  <si>
    <t>주식발행_보통주</t>
  </si>
  <si>
    <t>C11020</t>
  </si>
  <si>
    <t>주식발행_우선주</t>
  </si>
  <si>
    <t>C11030</t>
  </si>
  <si>
    <t>단기차입금의 차입</t>
  </si>
  <si>
    <t>C11040</t>
  </si>
  <si>
    <t>유동성장기부채의 증가</t>
  </si>
  <si>
    <t>C11050</t>
  </si>
  <si>
    <t>기타비유동장기부채의 증가</t>
  </si>
  <si>
    <t>C11060</t>
  </si>
  <si>
    <t>사채의 발행</t>
  </si>
  <si>
    <t>C11070</t>
  </si>
  <si>
    <t>장기차입금의 차입</t>
  </si>
  <si>
    <t>C11080</t>
  </si>
  <si>
    <t>장기성미지급금의 증가</t>
  </si>
  <si>
    <t>C11090</t>
  </si>
  <si>
    <t>유동화채무의 증가</t>
  </si>
  <si>
    <t>C11100</t>
  </si>
  <si>
    <t>C11110</t>
  </si>
  <si>
    <t>C11120</t>
  </si>
  <si>
    <t>자기주식의 처분</t>
  </si>
  <si>
    <t>C11130</t>
  </si>
  <si>
    <t>주식매입선택권의 행사</t>
  </si>
  <si>
    <t>C11140</t>
  </si>
  <si>
    <t>연결자본거래로 인한 현금유입액</t>
  </si>
  <si>
    <t>C11150</t>
  </si>
  <si>
    <t>소수주주지분의 변동</t>
  </si>
  <si>
    <t>C11160</t>
  </si>
  <si>
    <t>매각예정부채의 증가</t>
  </si>
  <si>
    <t>C11170</t>
  </si>
  <si>
    <t>금융리스부채의 증가</t>
  </si>
  <si>
    <t>C11180</t>
  </si>
  <si>
    <t>교환사채의 발행</t>
  </si>
  <si>
    <t>C11190</t>
  </si>
  <si>
    <t>신종자본증권의 발행</t>
  </si>
  <si>
    <t>C11200</t>
  </si>
  <si>
    <t>상환우선주의 발행</t>
  </si>
  <si>
    <t>C11990</t>
  </si>
  <si>
    <t>기타재무유입</t>
  </si>
  <si>
    <t>C12000</t>
  </si>
  <si>
    <t>재무활동으로 인한 현금유출액</t>
  </si>
  <si>
    <t>C12010</t>
  </si>
  <si>
    <t>단기차입금의 상환</t>
  </si>
  <si>
    <t>C12020</t>
  </si>
  <si>
    <t>유동성장기부채의 감소</t>
  </si>
  <si>
    <t>C12030</t>
  </si>
  <si>
    <t>기타비유동장기부채의 감소</t>
  </si>
  <si>
    <t>C12040</t>
  </si>
  <si>
    <t>사채의 상환</t>
  </si>
  <si>
    <t>C12050</t>
  </si>
  <si>
    <t>장기차입금의 상환</t>
  </si>
  <si>
    <t>C12060</t>
  </si>
  <si>
    <t>장기성미지급금의 상환</t>
  </si>
  <si>
    <t>C12070</t>
  </si>
  <si>
    <t>C12080</t>
  </si>
  <si>
    <t>C12090</t>
  </si>
  <si>
    <t>자기주식의 취득</t>
  </si>
  <si>
    <t>C12100</t>
  </si>
  <si>
    <t>자본금의 감소</t>
  </si>
  <si>
    <t>C12110</t>
  </si>
  <si>
    <t>상환우선주의 상환</t>
  </si>
  <si>
    <t>C12120</t>
  </si>
  <si>
    <t>배당금의 지급</t>
  </si>
  <si>
    <t>C12130</t>
  </si>
  <si>
    <t>연결자본거래로 인한 현금유출액</t>
  </si>
  <si>
    <t>C12140</t>
  </si>
  <si>
    <t>매각예정부채의 감소</t>
  </si>
  <si>
    <t>C12150</t>
  </si>
  <si>
    <t>금융리스부채의 감소</t>
  </si>
  <si>
    <t>C12160</t>
  </si>
  <si>
    <t>교환사채의 상환</t>
  </si>
  <si>
    <t>C12170</t>
  </si>
  <si>
    <t>신종자본증권의 상환</t>
  </si>
  <si>
    <t>C12990</t>
  </si>
  <si>
    <t>기타재무유출</t>
  </si>
  <si>
    <t>D10000</t>
  </si>
  <si>
    <t>외화환산으로 인한 현금의 변동</t>
  </si>
  <si>
    <t>D11000</t>
  </si>
  <si>
    <t>D11010</t>
  </si>
  <si>
    <t>외화환산으로 인한 현금의 변동(Value)</t>
  </si>
  <si>
    <t>E10000</t>
  </si>
  <si>
    <t>현금흐름표조정</t>
  </si>
  <si>
    <t>E11000</t>
  </si>
  <si>
    <t>E11010</t>
  </si>
  <si>
    <t>현금흐름표조정(Value)</t>
  </si>
  <si>
    <t>F10000</t>
  </si>
  <si>
    <t>현금의 증가</t>
  </si>
  <si>
    <t>G10000</t>
  </si>
  <si>
    <t>기초의 현금</t>
  </si>
  <si>
    <t>G11000</t>
  </si>
  <si>
    <t>G11010</t>
  </si>
  <si>
    <t>기초의 현금(Value)</t>
  </si>
  <si>
    <t>H10000</t>
  </si>
  <si>
    <t>기말의 현금</t>
  </si>
  <si>
    <t>H11000</t>
  </si>
  <si>
    <t>H11010</t>
  </si>
  <si>
    <t>기말의 현금(Value)</t>
  </si>
  <si>
    <t>I10000</t>
  </si>
  <si>
    <t>매각예정자산에 포함된 현금및현금성자산</t>
  </si>
  <si>
    <t>I11000</t>
  </si>
  <si>
    <t>I11010</t>
  </si>
  <si>
    <t>매각예정자산에 포함된 현금및현금성자산(Value)</t>
  </si>
  <si>
    <t>111111</t>
  </si>
  <si>
    <t>현금(외화)</t>
  </si>
  <si>
    <t>현금(원화)</t>
  </si>
  <si>
    <t>111131</t>
  </si>
  <si>
    <t>124500</t>
  </si>
  <si>
    <t>231100</t>
  </si>
  <si>
    <t>350100</t>
  </si>
  <si>
    <t>해외사업환산대</t>
  </si>
  <si>
    <t>해외사업환산차</t>
  </si>
  <si>
    <t>350560</t>
  </si>
  <si>
    <t>350630</t>
  </si>
  <si>
    <t>350900</t>
  </si>
  <si>
    <t>350910</t>
  </si>
  <si>
    <t>340100</t>
  </si>
  <si>
    <t>340300</t>
  </si>
  <si>
    <t>소송충당부채전입액</t>
  </si>
  <si>
    <t>공기구의 취득</t>
  </si>
  <si>
    <t>비품의 취득</t>
  </si>
  <si>
    <t>금형의 취득</t>
  </si>
  <si>
    <t>소트웨어의 취득</t>
  </si>
  <si>
    <t>CFSItemCod_Upload</t>
  </si>
  <si>
    <t>정산표 CODE</t>
  </si>
  <si>
    <t>A12400_1</t>
  </si>
  <si>
    <t>A12400_2</t>
  </si>
  <si>
    <t>B12300_1</t>
  </si>
  <si>
    <t>B12300_2</t>
  </si>
  <si>
    <t>B12300_3</t>
  </si>
  <si>
    <t>B12430_1</t>
  </si>
  <si>
    <t>B12430_2</t>
  </si>
  <si>
    <t>C12080_1</t>
  </si>
  <si>
    <t>C12080_2</t>
  </si>
  <si>
    <t>임차보증금의 증가</t>
  </si>
  <si>
    <t>임차보증금의 감소</t>
  </si>
  <si>
    <t>B11080_1</t>
  </si>
  <si>
    <t>B11080_2</t>
  </si>
  <si>
    <t>기타보증금의 감소</t>
  </si>
  <si>
    <t>공기구의 처분</t>
  </si>
  <si>
    <t>비품의 처분</t>
  </si>
  <si>
    <t>금형의 처분</t>
  </si>
  <si>
    <t>B11300_1</t>
  </si>
  <si>
    <t>B11300_2</t>
  </si>
  <si>
    <t>B11300_3</t>
  </si>
  <si>
    <t>소프트웨어의 처분</t>
  </si>
  <si>
    <t>B11410_1</t>
  </si>
  <si>
    <t>B11410_2</t>
  </si>
  <si>
    <t>SMMC JP Scope - in</t>
  </si>
  <si>
    <t>영업활동</t>
  </si>
  <si>
    <t>투자활동</t>
  </si>
  <si>
    <t>재무활동</t>
  </si>
  <si>
    <t>과               목</t>
  </si>
  <si>
    <t>Ⅰ.영업활동으로 인한 현금흐름</t>
  </si>
  <si>
    <t>1. 영업에서 창출된 현금흐름</t>
  </si>
  <si>
    <t> (1) 당기순손실</t>
  </si>
  <si>
    <t> (2) 수익ㆍ비용의 조정</t>
  </si>
  <si>
    <t>    퇴직급여</t>
  </si>
  <si>
    <t>    감가상각비</t>
  </si>
  <si>
    <t>    무형자산상각비</t>
  </si>
  <si>
    <t>    대손상각비(환입액)</t>
  </si>
  <si>
    <t>    반품충당부채전입액</t>
  </si>
  <si>
    <t>    판매보증충당부채전입액</t>
  </si>
  <si>
    <t>    복구충당부채전입액(환입액)</t>
  </si>
  <si>
    <t>    이자비용</t>
  </si>
  <si>
    <t>    외화환산손실</t>
  </si>
  <si>
    <t>    유형자산손상차손</t>
  </si>
  <si>
    <t>    무형자산손상차손</t>
  </si>
  <si>
    <t>    유형자산처분손실</t>
  </si>
  <si>
    <t>    종속기업투자주식손상차손</t>
  </si>
  <si>
    <t>    이자수익</t>
  </si>
  <si>
    <t>    외화환산이익</t>
  </si>
  <si>
    <t>    당기손익인식금융자산평가이익</t>
  </si>
  <si>
    <t>    당기손익-공정가치측정 금융자산평가이익</t>
  </si>
  <si>
    <t>    당기손익-공정가치측정 금융자산처분이익</t>
  </si>
  <si>
    <t>    당기손익-공정가치측정 금융자산평가손실</t>
  </si>
  <si>
    <t>    유형자산처분이익</t>
  </si>
  <si>
    <t>    무형자산처분이익</t>
  </si>
  <si>
    <t> (3) 영업활동으로 인한 자산ㆍ부채의 변동</t>
  </si>
  <si>
    <t>    매출채권의 증가</t>
  </si>
  <si>
    <t>    기타채권의 감소(증가)</t>
  </si>
  <si>
    <t>    기타유동자산의 감소(증가)</t>
  </si>
  <si>
    <t>    재고자산의 증가</t>
  </si>
  <si>
    <t>    매입채무의 증가</t>
  </si>
  <si>
    <t>    기타채무의 감소</t>
  </si>
  <si>
    <t>    기타유동부채의 증가(감소)</t>
  </si>
  <si>
    <t>    기타비유동부채의 증가(감소)</t>
  </si>
  <si>
    <t>    순확정급여부채의 감소</t>
  </si>
  <si>
    <t>2. 이자의 수취</t>
  </si>
  <si>
    <t>3. 이자의 지급</t>
  </si>
  <si>
    <t>4. 법인세의 납부</t>
  </si>
  <si>
    <t>Ⅱ.투자활동으로 인한 현금흐름</t>
  </si>
  <si>
    <t> (1) 투자활동으로 인한 현금유입액</t>
  </si>
  <si>
    <t>      단기대여금의 감소</t>
  </si>
  <si>
    <t>      임차보증금의 감소</t>
  </si>
  <si>
    <t>      기타보증금의 감소</t>
  </si>
  <si>
    <t>      당기손익인식금융자산의 감소</t>
  </si>
  <si>
    <t>      당기손익-공정가치측정 금융자산의 감소</t>
  </si>
  <si>
    <t>      유형자산의 처분</t>
  </si>
  <si>
    <t>      무형자산의 처분</t>
  </si>
  <si>
    <t>      합병으로 인한 현금유입액</t>
  </si>
  <si>
    <t> (2) 투자활동으로인한 현금유출액</t>
  </si>
  <si>
    <t>      단기대여금의 증가</t>
  </si>
  <si>
    <t>      임차보증금의 증가</t>
  </si>
  <si>
    <t>      당기손익인식금융자산의 증가</t>
  </si>
  <si>
    <t>      당기손익-공정가치측정 금융자산의 증가</t>
  </si>
  <si>
    <t>      종속기업 및 관계기업투자주식의 증가</t>
  </si>
  <si>
    <t>      유형자산의 취득</t>
  </si>
  <si>
    <t>      무형자산의 취득</t>
  </si>
  <si>
    <t>Ⅲ.재무활동으로 인한 현금흐름</t>
  </si>
  <si>
    <t> (1) 재무활동으로 인한 현금유입액</t>
  </si>
  <si>
    <t>      유상증자</t>
  </si>
  <si>
    <t> (2) 재무활동으로 인한 현금유출액</t>
  </si>
  <si>
    <t>      자기주식의 취득</t>
  </si>
  <si>
    <t>Ⅳ.현금및현금성자산의 증가(Ⅰ+Ⅱ+Ⅲ)</t>
  </si>
  <si>
    <t>Ⅴ.기초의 현금및현금성자산</t>
  </si>
  <si>
    <t>Ⅵ.외화표시 현금및현금성자산의 환율변동효과</t>
  </si>
  <si>
    <t>Ⅶ.기말의 현금및현금성자산</t>
  </si>
  <si>
    <t>당기순손실</t>
  </si>
  <si>
    <t>반품충당부채전입액</t>
  </si>
  <si>
    <t>판매보증충당부채전입액</t>
  </si>
  <si>
    <t>대손상각비(환입액)</t>
  </si>
  <si>
    <t>복구충당부채전입액(환입액)</t>
  </si>
  <si>
    <t>당기손익-공정가치측정 금융자산평가이익</t>
  </si>
  <si>
    <t>당기손익-공정가치측정 금융자산처분이익</t>
  </si>
  <si>
    <t>당기손익-공정가치측정 금융자산평가손실</t>
  </si>
  <si>
    <t>(3) 영업활동으로 인한 자산ㆍ부채의 변동</t>
  </si>
  <si>
    <t>매출채권의 증가</t>
  </si>
  <si>
    <t>기타채권의 감소(증가)</t>
  </si>
  <si>
    <t>기타유동자산의 감소(증가)</t>
  </si>
  <si>
    <t>재고자산의 증가</t>
  </si>
  <si>
    <t>매입채무의 증가</t>
  </si>
  <si>
    <t>기타채무의 감소</t>
  </si>
  <si>
    <t>기타유동부채의 증가(감소)</t>
  </si>
  <si>
    <t>기타비유동부채의 증가(감소)</t>
  </si>
  <si>
    <t>순확정급여부채의 감소</t>
  </si>
  <si>
    <t>(1) 투자활동으로 인한 현금유입액</t>
  </si>
  <si>
    <t>단기대여금의 감소</t>
  </si>
  <si>
    <t>당기손익인식금융자산의 감소</t>
  </si>
  <si>
    <t>당기손익-공정가치측정 금융자산의 감소</t>
  </si>
  <si>
    <t>유형자산의 처분</t>
  </si>
  <si>
    <t>무형자산의 처분</t>
  </si>
  <si>
    <t>합병으로 인한 현금유입액</t>
  </si>
  <si>
    <t>(2) 투자활동으로인한 현금유출액</t>
  </si>
  <si>
    <t>당기손익인식금융자산의 증가</t>
  </si>
  <si>
    <t>당기손익-공정가치측정 금융자산의 증가</t>
  </si>
  <si>
    <t>종속기업 및 관계기업투자주식의 증가</t>
  </si>
  <si>
    <t>유형자산의 취득</t>
  </si>
  <si>
    <t>무형자산의 취득</t>
  </si>
  <si>
    <t>(1) 재무활동으로 인한 현금유입액</t>
  </si>
  <si>
    <t>(2) 재무활동으로 인한 현금유출액</t>
  </si>
  <si>
    <t>A12400_3</t>
  </si>
  <si>
    <t>A12400_4</t>
  </si>
  <si>
    <t>당기손익-공정가치측정 금융자산처분손실</t>
  </si>
  <si>
    <t>Scope조정</t>
  </si>
  <si>
    <t>연결NI조정</t>
  </si>
  <si>
    <t>내부거래조정</t>
  </si>
  <si>
    <t>Event조정</t>
  </si>
  <si>
    <t>Etc</t>
  </si>
  <si>
    <t>Scope 조정</t>
  </si>
  <si>
    <t>연결 TB</t>
  </si>
  <si>
    <t>조정</t>
  </si>
  <si>
    <t>CF_기초현금</t>
  </si>
  <si>
    <t>내역</t>
  </si>
  <si>
    <t>금액</t>
  </si>
  <si>
    <t>1.0. 기초현금</t>
  </si>
  <si>
    <t>2.0. 기말현금</t>
  </si>
  <si>
    <t>연결NI 조정</t>
  </si>
  <si>
    <t>1.0. 공정가조정</t>
  </si>
  <si>
    <t>조정합계</t>
  </si>
  <si>
    <t>연결CF</t>
  </si>
  <si>
    <t>Event 조정</t>
  </si>
  <si>
    <t>1.0. 채권채무조정</t>
  </si>
  <si>
    <t>2.0. 수익비용조정</t>
  </si>
  <si>
    <t>2.0. 미실현손익</t>
  </si>
  <si>
    <t>3.0. 자금거래조정</t>
  </si>
  <si>
    <t>From</t>
  </si>
  <si>
    <t>To</t>
  </si>
  <si>
    <t>SMMC</t>
  </si>
  <si>
    <t>Groovers Jp</t>
  </si>
  <si>
    <t>관계기업투자주식처분이익</t>
  </si>
  <si>
    <t>    법인세비용</t>
  </si>
  <si>
    <t>    무형자산처분손실</t>
  </si>
  <si>
    <t>기타보증금의 증가</t>
  </si>
  <si>
    <t>      기타보증금의 증가</t>
  </si>
  <si>
    <t>사업양수에 따른 지급</t>
  </si>
  <si>
    <t>      사업양수에 따른 지급</t>
  </si>
  <si>
    <t>종속기업 취득에 따른 순현금흐름</t>
  </si>
  <si>
    <t>      종속기업 취득에 따른 순현금흐름</t>
  </si>
  <si>
    <t>      단기차입금의 상환</t>
  </si>
  <si>
    <t>과                        목</t>
  </si>
  <si>
    <t>(2) 수익ㆍ비용의 조정</t>
  </si>
  <si>
    <t>    지분법손실</t>
  </si>
  <si>
    <t>회계연도</t>
  </si>
  <si>
    <t>전기기간</t>
  </si>
  <si>
    <t>연결단위</t>
  </si>
  <si>
    <t>CFSItemCod</t>
  </si>
  <si>
    <t>현지통화</t>
  </si>
  <si>
    <t>T198</t>
    <phoneticPr fontId="4" type="noConversion"/>
  </si>
  <si>
    <t>KRW</t>
    <phoneticPr fontId="4" type="noConversion"/>
  </si>
  <si>
    <t>현금의 유출이 없는 비용등의 가산</t>
    <phoneticPr fontId="4" type="noConversion"/>
  </si>
  <si>
    <t>A12080</t>
  </si>
  <si>
    <t>매도가능증권처분손실</t>
  </si>
  <si>
    <t>A12090</t>
  </si>
  <si>
    <t>매도가능증권손상차손</t>
  </si>
  <si>
    <t>부채성충당금전입액</t>
  </si>
  <si>
    <t>A12520</t>
    <phoneticPr fontId="4" type="noConversion"/>
  </si>
  <si>
    <t>확정계약평가손실</t>
    <phoneticPr fontId="4" type="noConversion"/>
  </si>
  <si>
    <t>기타 현금의 유출이 없는 비용등</t>
  </si>
  <si>
    <t>A13040</t>
  </si>
  <si>
    <t>매도가능증권처분이익</t>
  </si>
  <si>
    <t>A13050</t>
  </si>
  <si>
    <t>매도가능증권손상차손환입</t>
  </si>
  <si>
    <t>A13390</t>
    <phoneticPr fontId="4" type="noConversion"/>
  </si>
  <si>
    <t>배당수익</t>
    <phoneticPr fontId="4" type="noConversion"/>
  </si>
  <si>
    <t>A13400</t>
    <phoneticPr fontId="4" type="noConversion"/>
  </si>
  <si>
    <t>기타 현금의 유입이 없는 수익등</t>
  </si>
  <si>
    <t>영업활동으로 인한 자산부채의 변동</t>
    <phoneticPr fontId="4" type="noConversion"/>
  </si>
  <si>
    <t>단기매매증권의 감소(증가)</t>
  </si>
  <si>
    <t>A14420</t>
    <phoneticPr fontId="4" type="noConversion"/>
  </si>
  <si>
    <t>영업활동 관련 파생상품의 감소(증가)</t>
    <phoneticPr fontId="4" type="noConversion"/>
  </si>
  <si>
    <t>A14430</t>
    <phoneticPr fontId="4" type="noConversion"/>
  </si>
  <si>
    <t>차량운반구(영업활동용)의 취득</t>
    <phoneticPr fontId="4" type="noConversion"/>
  </si>
  <si>
    <t>A14440</t>
    <phoneticPr fontId="4" type="noConversion"/>
  </si>
  <si>
    <t>차량운반구(영업활동용)의 처분</t>
    <phoneticPr fontId="4" type="noConversion"/>
  </si>
  <si>
    <t>B11120</t>
    <phoneticPr fontId="4" type="noConversion"/>
  </si>
  <si>
    <t>B11130</t>
  </si>
  <si>
    <t>매도가능증권의 처분</t>
  </si>
  <si>
    <t>관계기업투자주식의 처분</t>
  </si>
  <si>
    <t>공기구비품의 처분</t>
  </si>
  <si>
    <t>B12120</t>
    <phoneticPr fontId="4" type="noConversion"/>
  </si>
  <si>
    <t>B12130</t>
  </si>
  <si>
    <t>매도가능증권의 취득</t>
  </si>
  <si>
    <t>관계기업투자주식의 취득</t>
  </si>
  <si>
    <t>공기구비품의 취득</t>
  </si>
  <si>
    <t>선급금-고정자산</t>
  </si>
  <si>
    <t>C11190</t>
    <phoneticPr fontId="4" type="noConversion"/>
  </si>
  <si>
    <t>신종자본증권의 발행</t>
    <phoneticPr fontId="4" type="noConversion"/>
  </si>
  <si>
    <t>배당의 지급</t>
  </si>
  <si>
    <t>C12170</t>
    <phoneticPr fontId="4" type="noConversion"/>
  </si>
  <si>
    <t>신종자본증권의 상환</t>
    <phoneticPr fontId="4" type="noConversion"/>
  </si>
  <si>
    <t>중단사업관련 현금흐름</t>
  </si>
  <si>
    <t>중단사업관련 현금흐름(Value)</t>
  </si>
  <si>
    <t>DIFF'</t>
  </si>
  <si>
    <t>Upload</t>
  </si>
  <si>
    <t>LocalAmount</t>
  </si>
  <si>
    <t>2018년 중 관계기업에서 종속기업으로 / 2019년 3월 1일자로 드림어스컴퍼니에 흡수합병됨</t>
  </si>
  <si>
    <t>아이리버 &gt; LDC 하향판매</t>
  </si>
  <si>
    <t>그루버스합병</t>
  </si>
  <si>
    <t>NEW</t>
  </si>
  <si>
    <t>224000</t>
  </si>
  <si>
    <t>미지급비용현재가치할인차금</t>
  </si>
  <si>
    <t>매입채무및기타채무(비유동)</t>
  </si>
  <si>
    <t>미지급비용(비유동_원화)</t>
  </si>
  <si>
    <t>미지급비용(비유동)현재가치할인차금</t>
  </si>
  <si>
    <t>231710</t>
  </si>
  <si>
    <t>231800</t>
  </si>
  <si>
    <t>DONE.</t>
  </si>
  <si>
    <t>410270</t>
  </si>
  <si>
    <t>반품추정매출</t>
  </si>
  <si>
    <t>733900</t>
  </si>
  <si>
    <t>622500</t>
  </si>
  <si>
    <t>732920</t>
  </si>
  <si>
    <t>단기차입금(외화)</t>
  </si>
  <si>
    <t>단기대여금(외화)</t>
  </si>
  <si>
    <t>기부금</t>
  </si>
  <si>
    <t>거래처코드</t>
  </si>
  <si>
    <t>거래처명</t>
  </si>
  <si>
    <t>계정코드</t>
  </si>
  <si>
    <t>사업자등록번호</t>
  </si>
  <si>
    <t>전일잔액</t>
  </si>
  <si>
    <t>차변금액</t>
  </si>
  <si>
    <t>대변금액</t>
  </si>
  <si>
    <t>당일잔액</t>
  </si>
  <si>
    <t>00314</t>
  </si>
  <si>
    <t>112900</t>
  </si>
  <si>
    <t>220-81-77868</t>
  </si>
  <si>
    <t>01640</t>
  </si>
  <si>
    <t>Iriver Enterprise Limited</t>
  </si>
  <si>
    <t>111731</t>
  </si>
  <si>
    <t>--</t>
  </si>
  <si>
    <t>01750</t>
  </si>
  <si>
    <t>IRIVER CHINA CO.,LTD</t>
  </si>
  <si>
    <t>211121</t>
  </si>
  <si>
    <t>111-11-11111</t>
  </si>
  <si>
    <t>01751</t>
  </si>
  <si>
    <t>213150</t>
  </si>
  <si>
    <t>410130</t>
  </si>
  <si>
    <t>410140</t>
  </si>
  <si>
    <t>410240</t>
  </si>
  <si>
    <t>410241</t>
  </si>
  <si>
    <t>A08002</t>
  </si>
  <si>
    <t>Groovers Japan</t>
  </si>
  <si>
    <t>111711</t>
  </si>
  <si>
    <t>112113</t>
  </si>
  <si>
    <t>A09021</t>
  </si>
  <si>
    <t>e</t>
  </si>
  <si>
    <t>v1.0</t>
  </si>
  <si>
    <t>7/3/2019</t>
  </si>
  <si>
    <t>아이리버</t>
  </si>
  <si>
    <t>c/p</t>
  </si>
  <si>
    <t>미수금(외화)</t>
  </si>
  <si>
    <t>해외사업환산차대 변동</t>
  </si>
  <si>
    <t>장기미지급비용</t>
  </si>
  <si>
    <t>사용권자산(건물_감가상각누계액)</t>
  </si>
  <si>
    <t>사용권자산(차량운반구_감가상각누계액)</t>
  </si>
  <si>
    <t>유동성리스부채</t>
  </si>
  <si>
    <t>리스부채</t>
  </si>
  <si>
    <t>자본조정-주식선택권</t>
  </si>
  <si>
    <t>부가가치세_매입</t>
  </si>
  <si>
    <t>부가가치세_매출</t>
  </si>
  <si>
    <t>기부금-기타기부금</t>
  </si>
  <si>
    <t>감가상각비(사용권자산_건물)</t>
  </si>
  <si>
    <t>감가상각비(사용권자산_차량운반구)</t>
  </si>
  <si>
    <t>이자비용(유동리스부채)</t>
  </si>
  <si>
    <t>그루버스_미실현손익 실현</t>
  </si>
  <si>
    <t>2018년 장부로 fix</t>
  </si>
  <si>
    <t>2018년 말 까지 환산한 결과 장부가액을 기준으로 잔여 내용연수 동안 상각 (KRW FIX)</t>
  </si>
  <si>
    <t>자본변동상세내역</t>
  </si>
  <si>
    <t>주식선택권의 행사</t>
  </si>
  <si>
    <t>주식선택권의 소멸</t>
  </si>
  <si>
    <t>자기주식의 취득/처분</t>
  </si>
  <si>
    <t>전환사채의 전환</t>
  </si>
  <si>
    <t>사업결합</t>
  </si>
  <si>
    <t>해외사업환산</t>
  </si>
  <si>
    <t>연결순이익</t>
  </si>
  <si>
    <t>배당금의지급</t>
  </si>
  <si>
    <t>기타포괄손익-재측정손익</t>
  </si>
  <si>
    <t>기타포괄손익-공정가치 측정 금융자산의 처분</t>
  </si>
  <si>
    <t>취득/처분</t>
  </si>
  <si>
    <t>사업결합 등</t>
  </si>
  <si>
    <t>2018.12.31</t>
  </si>
  <si>
    <t>별도</t>
  </si>
  <si>
    <t>Reclass</t>
  </si>
  <si>
    <t>기초조정</t>
  </si>
  <si>
    <t>취득</t>
  </si>
  <si>
    <t>처분</t>
  </si>
  <si>
    <t>지분법NI</t>
  </si>
  <si>
    <t>해외사업환산손익</t>
  </si>
  <si>
    <t>지분변동차액</t>
  </si>
  <si>
    <t>배당</t>
  </si>
  <si>
    <t>Other</t>
  </si>
  <si>
    <t>투자자본상계</t>
  </si>
  <si>
    <t>별도_그루버스</t>
  </si>
  <si>
    <t>별도_영업양수</t>
  </si>
  <si>
    <t>Val.</t>
  </si>
  <si>
    <t>change.</t>
  </si>
  <si>
    <t>지배기업주식보상비용</t>
  </si>
  <si>
    <t>해외사업</t>
  </si>
  <si>
    <t>연결당기순이익</t>
  </si>
  <si>
    <t>검증</t>
  </si>
  <si>
    <t>과     목</t>
  </si>
  <si>
    <t>지배기업 소유주지분</t>
  </si>
  <si>
    <t>비지배지분</t>
  </si>
  <si>
    <t>자 본 금</t>
  </si>
  <si>
    <t>결손금</t>
  </si>
  <si>
    <t>소계</t>
  </si>
  <si>
    <t>총포괄손익:</t>
  </si>
  <si>
    <t> 확정급여제도의 재측정요소</t>
  </si>
  <si>
    <t> 해외사업장환산외환차이</t>
  </si>
  <si>
    <t>자본에 직접 반영된 소유주와의 거래:</t>
  </si>
  <si>
    <t> 전환사채의 전환</t>
  </si>
  <si>
    <t> 주식보상비용</t>
  </si>
  <si>
    <t>B/S</t>
  </si>
  <si>
    <t>CF_기말현금</t>
  </si>
  <si>
    <t>LDC</t>
  </si>
  <si>
    <t>매출채권및기타채권_유동</t>
  </si>
  <si>
    <t>매출채권및기타채권_비유동</t>
  </si>
  <si>
    <t>리스부채_유동</t>
  </si>
  <si>
    <t>당기법인세부채</t>
  </si>
  <si>
    <t>기타비유동부채</t>
  </si>
  <si>
    <t>리스부채_비유동</t>
  </si>
  <si>
    <t>이연법인세부채_비유동</t>
  </si>
  <si>
    <t>FSC</t>
    <phoneticPr fontId="17" type="noConversion"/>
  </si>
  <si>
    <t>주 석</t>
  </si>
  <si>
    <t>자                        산</t>
  </si>
  <si>
    <t>I. 유동자산</t>
  </si>
  <si>
    <t>6,7,8</t>
  </si>
  <si>
    <t>매출채권및기타채권_유동</t>
    <phoneticPr fontId="17" type="noConversion"/>
  </si>
  <si>
    <t>6,7,28</t>
  </si>
  <si>
    <t>6,7</t>
  </si>
  <si>
    <t>II. 비유동자산</t>
  </si>
  <si>
    <t>매출채권및기타채권_비유동</t>
    <phoneticPr fontId="17" type="noConversion"/>
  </si>
  <si>
    <t>5,12</t>
  </si>
  <si>
    <t>5,13,28</t>
  </si>
  <si>
    <t>5,10</t>
  </si>
  <si>
    <t>자      산      총      계</t>
  </si>
  <si>
    <t>부                        채</t>
  </si>
  <si>
    <t>I. 유동부채</t>
  </si>
  <si>
    <t>6,7,14,17,28</t>
  </si>
  <si>
    <t>6,7,16,28</t>
  </si>
  <si>
    <t>15,28</t>
  </si>
  <si>
    <t>리스부채_유동</t>
    <phoneticPr fontId="17" type="noConversion"/>
  </si>
  <si>
    <t>리스부채</t>
    <phoneticPr fontId="17" type="noConversion"/>
  </si>
  <si>
    <t>II. 비유동부채</t>
  </si>
  <si>
    <t>비유동금융부채</t>
  </si>
  <si>
    <t>리스부채_비유동</t>
    <phoneticPr fontId="17" type="noConversion"/>
  </si>
  <si>
    <t>부      채      총      계</t>
  </si>
  <si>
    <t>자                        본</t>
  </si>
  <si>
    <t>지배기업소유주에 귀속되는 자본</t>
  </si>
  <si>
    <t>Ⅰ.자본금</t>
  </si>
  <si>
    <t>1,18</t>
  </si>
  <si>
    <t>Ⅱ.자본잉여금</t>
  </si>
  <si>
    <t>Ⅲ.기타자본항목</t>
  </si>
  <si>
    <t>19,21,30</t>
  </si>
  <si>
    <t>Ⅳ.결손금</t>
  </si>
  <si>
    <t>자      본      총      계</t>
  </si>
  <si>
    <t>부  채  및  자  본  총  계</t>
  </si>
  <si>
    <t>차대검증</t>
    <phoneticPr fontId="17" type="noConversion"/>
  </si>
  <si>
    <t>T_BS 검증</t>
    <phoneticPr fontId="17" type="noConversion"/>
  </si>
  <si>
    <t>주석</t>
  </si>
  <si>
    <t>Ⅰ.매출액</t>
  </si>
  <si>
    <t>4,23</t>
  </si>
  <si>
    <t>Ⅱ.매출원가</t>
  </si>
  <si>
    <t>4,6,23</t>
  </si>
  <si>
    <t>Ⅲ.매출총이익</t>
  </si>
  <si>
    <t> 판매비와관리비</t>
  </si>
  <si>
    <t>Ⅳ.영업이익(손실)</t>
  </si>
  <si>
    <t> 금융수익</t>
  </si>
  <si>
    <t> 금융비용</t>
  </si>
  <si>
    <t>5,23</t>
  </si>
  <si>
    <t> 기타영업외수익</t>
  </si>
  <si>
    <t>기타영업외비용</t>
    <phoneticPr fontId="17" type="noConversion"/>
  </si>
  <si>
    <t> 기타영업외비용</t>
  </si>
  <si>
    <t>Ⅴ.법인세비용차감전순이익(손실)</t>
  </si>
  <si>
    <t> 법인세비용(수익)</t>
  </si>
  <si>
    <t> 지배기업의 소유주지분</t>
  </si>
  <si>
    <t> 비지배지분</t>
  </si>
  <si>
    <t>VII. 기타포괄손익</t>
  </si>
  <si>
    <t>후속적으로 당기손익으로 재분류되지 않는 포괄손익</t>
  </si>
  <si>
    <t>확정급여제도의 재측정요소</t>
  </si>
  <si>
    <t>후속적으로 당기손익으로 재분류되는 포괄손익　</t>
  </si>
  <si>
    <t>VIII. 총포괄이익(손실)</t>
  </si>
  <si>
    <t>IX. 주당손익</t>
  </si>
  <si>
    <t> 기본주당이익(손실)</t>
  </si>
  <si>
    <t> 희석주당이익(손실)</t>
  </si>
  <si>
    <t>T_IS 검증</t>
    <phoneticPr fontId="17" type="noConversion"/>
  </si>
  <si>
    <t>732910</t>
  </si>
  <si>
    <t>전환사채 전환으로 인한 신주발행비</t>
  </si>
  <si>
    <t>유형자산감액손실</t>
  </si>
  <si>
    <t>기타비유동자산의 감소(증가)</t>
  </si>
  <si>
    <t>매출원가포함 상각비</t>
  </si>
  <si>
    <t>매출원가포함</t>
  </si>
  <si>
    <t>    유형자산폐기손실</t>
  </si>
  <si>
    <t>    주식보상비용</t>
  </si>
  <si>
    <t>    기타비유동자산의 감소(증가)</t>
  </si>
  <si>
    <t>리스부채의 원금상환</t>
  </si>
  <si>
    <t>      리스부채의 원금상환</t>
  </si>
  <si>
    <t>      기타재무유출</t>
  </si>
  <si>
    <t>기타유동자산의 증가</t>
  </si>
  <si>
    <t>      기타유동자산의 증가</t>
  </si>
  <si>
    <t>B12080_1</t>
  </si>
  <si>
    <t>임대보증금의 감소</t>
  </si>
  <si>
    <t>      임대보증금의 감소</t>
  </si>
  <si>
    <t>사용금지</t>
  </si>
  <si>
    <t>장기금융상품</t>
  </si>
  <si>
    <t>단기리스료</t>
  </si>
  <si>
    <t>소액리스료</t>
  </si>
  <si>
    <t>111901</t>
  </si>
  <si>
    <t>감자</t>
  </si>
  <si>
    <t>선급금(원화_공연기획)</t>
  </si>
  <si>
    <t>선급금(외화_금형)</t>
  </si>
  <si>
    <t>외상매출금(외화_비유동)</t>
  </si>
  <si>
    <t>대손충당금(외상매출금_외화_비유동)</t>
  </si>
  <si>
    <t>장기대여금(외화)</t>
  </si>
  <si>
    <t>임대보증금(비유동)</t>
  </si>
  <si>
    <t>종속기업투자주식처분이익</t>
  </si>
  <si>
    <t>미국법인매각</t>
  </si>
  <si>
    <t>매각대가</t>
  </si>
  <si>
    <t>순자산</t>
  </si>
  <si>
    <t>해외사업환산차대</t>
  </si>
  <si>
    <t>처분이익</t>
  </si>
  <si>
    <t>Change in FY2019 Q3</t>
  </si>
  <si>
    <t>2019 3Q</t>
  </si>
  <si>
    <t>비유동외화외상매출금</t>
  </si>
  <si>
    <t>비유동외화대손충당금(매출채권)</t>
  </si>
  <si>
    <t>712800_1</t>
  </si>
  <si>
    <t>통화</t>
  </si>
  <si>
    <t>기초잔액</t>
  </si>
  <si>
    <t>대손상각비(환율효과)</t>
  </si>
  <si>
    <t>당기제각</t>
  </si>
  <si>
    <t>환입(회수)</t>
  </si>
  <si>
    <t>환입(채무상계)</t>
  </si>
  <si>
    <t>유동성대체</t>
  </si>
  <si>
    <t>원화</t>
  </si>
  <si>
    <t>유동</t>
  </si>
  <si>
    <t>비유동</t>
  </si>
  <si>
    <t>합</t>
  </si>
  <si>
    <t>외화</t>
  </si>
  <si>
    <t>처분손실</t>
  </si>
  <si>
    <t>처분이익(손실)</t>
  </si>
  <si>
    <t>연결기준 대손충당금 변동</t>
  </si>
  <si>
    <t>채무면제 후 순자산(채무면제이익반영 후)</t>
  </si>
  <si>
    <t>* 매각시점 B/S</t>
  </si>
  <si>
    <t>채무</t>
  </si>
  <si>
    <t>순자산(채무면제이익)</t>
  </si>
  <si>
    <t>당기대손상각비(환입)</t>
  </si>
  <si>
    <t>제각(상계)</t>
  </si>
  <si>
    <t>3.0. 투자주식 관련</t>
  </si>
  <si>
    <t>종속기업 처분에 따른 순현금흐름</t>
  </si>
  <si>
    <t>    관계기업투자주식처분손실</t>
  </si>
  <si>
    <t>관계기업투자주식처분손실</t>
  </si>
  <si>
    <t>종속기업투자주식처분손실</t>
  </si>
  <si>
    <t>    종속기업투자주식처분손실</t>
  </si>
  <si>
    <t>      종속기업 처분에 따른 순현금흐름</t>
  </si>
  <si>
    <t>      장기대여금의 증가</t>
  </si>
  <si>
    <t>환율차이조정</t>
  </si>
  <si>
    <t>소송충당부채전입액(환입액)</t>
  </si>
  <si>
    <t>기타유동금융자산의 증가</t>
  </si>
  <si>
    <t>미국법인 B/S</t>
  </si>
  <si>
    <t>당기손익인식금융자산-기타</t>
  </si>
  <si>
    <t>2019년 말</t>
  </si>
  <si>
    <t>2019년 중 매각</t>
  </si>
  <si>
    <t>2019년 12월 중 LDG에 합병</t>
  </si>
  <si>
    <t>비영업용자산</t>
  </si>
  <si>
    <t>이자발생부채</t>
  </si>
  <si>
    <t>고객관계무형자산</t>
  </si>
  <si>
    <t>비교대상장부가액</t>
  </si>
  <si>
    <t>Change in FY2019 Q4</t>
  </si>
  <si>
    <t>손상</t>
  </si>
  <si>
    <t>112112</t>
  </si>
  <si>
    <t>214999</t>
  </si>
  <si>
    <t>214998</t>
  </si>
  <si>
    <t>선수수익(외화_기타)</t>
  </si>
  <si>
    <t>선수수익(원화_기타)</t>
  </si>
  <si>
    <t>733260</t>
  </si>
  <si>
    <t>2019.12.31</t>
  </si>
  <si>
    <t>손상차손</t>
  </si>
  <si>
    <t>:</t>
  </si>
  <si>
    <t>별도 - 미국법인 대손 충당금 변동(3분기)</t>
  </si>
  <si>
    <t>별도 - 미국법인 대손 충당금 변동(4분기)</t>
  </si>
  <si>
    <t>전기말 현재 미실현 대손충당금 R/F</t>
  </si>
  <si>
    <t>당기 연결실체 내부거래로 인식한 대손상각비를 취소</t>
  </si>
  <si>
    <t>미국법인의 채무면제이익 처분손익 반영</t>
  </si>
  <si>
    <t>diff</t>
  </si>
  <si>
    <t>회수가능가액</t>
  </si>
  <si>
    <t>비교대상장부가액 : 12/31/2019 (LDC only)</t>
  </si>
  <si>
    <t>410260</t>
  </si>
  <si>
    <t>상품매출할인및에누리(수출)</t>
  </si>
  <si>
    <t>제거 대상</t>
  </si>
  <si>
    <t>영업권손상차손</t>
  </si>
  <si>
    <t>A12600_1</t>
  </si>
  <si>
    <t> 당기순이익</t>
  </si>
  <si>
    <t>    기타의대손상각비(환입액)</t>
  </si>
  <si>
    <t>기타의대손상각비(환입액)</t>
  </si>
  <si>
    <t>FY2018</t>
  </si>
  <si>
    <t>(1) 당기순이익(손실)</t>
  </si>
  <si>
    <t>      단기차입금의 차입</t>
  </si>
  <si>
    <t>계정과목</t>
    <phoneticPr fontId="20" type="noConversion"/>
  </si>
  <si>
    <t>현금및현금성자산(LDC only)</t>
  </si>
  <si>
    <t>순자산(LDC only)</t>
  </si>
  <si>
    <t>LDC 결산 후</t>
  </si>
  <si>
    <t>영업가치(평가보고서 민감도분석)</t>
  </si>
  <si>
    <t>121805**</t>
  </si>
  <si>
    <t>장기미수금</t>
  </si>
  <si>
    <t>미수금계정대체</t>
  </si>
  <si>
    <t>장기미수금계정대체</t>
  </si>
  <si>
    <t>기타비유동채권의 감소(증가)</t>
  </si>
  <si>
    <t xml:space="preserve">    기타비유동채권의 감소(증가)</t>
  </si>
  <si>
    <t>미수금(원화_금융자산)</t>
  </si>
  <si>
    <t>회사업로드</t>
  </si>
  <si>
    <t>대손충당금(미수금)</t>
  </si>
  <si>
    <t>종속기업 및 관계기업 투자 관련 손익</t>
  </si>
  <si>
    <t xml:space="preserve"> 종속기업 및 관계기업 투자 관련 손익</t>
    <phoneticPr fontId="20" type="noConversion"/>
  </si>
  <si>
    <t>Ⅵ.당기순이익(손실)</t>
    <phoneticPr fontId="20" type="noConversion"/>
  </si>
  <si>
    <t> 당기순이익</t>
    <phoneticPr fontId="20" type="noConversion"/>
  </si>
  <si>
    <t>장기선급금</t>
  </si>
  <si>
    <t>AC</t>
    <phoneticPr fontId="20" type="noConversion"/>
  </si>
  <si>
    <t>코드</t>
    <phoneticPr fontId="20" type="noConversion"/>
  </si>
  <si>
    <t>Dr.</t>
    <phoneticPr fontId="20" type="noConversion"/>
  </si>
  <si>
    <t>Cr.</t>
    <phoneticPr fontId="20" type="noConversion"/>
  </si>
  <si>
    <t>320300</t>
    <phoneticPr fontId="20" type="noConversion"/>
  </si>
  <si>
    <t>350951</t>
    <phoneticPr fontId="20" type="noConversion"/>
  </si>
  <si>
    <t>340100</t>
    <phoneticPr fontId="20" type="noConversion"/>
  </si>
  <si>
    <t>115200</t>
    <phoneticPr fontId="20" type="noConversion"/>
  </si>
  <si>
    <t>111731</t>
    <phoneticPr fontId="20" type="noConversion"/>
  </si>
  <si>
    <t>121800</t>
    <phoneticPr fontId="20" type="noConversion"/>
  </si>
  <si>
    <t>112113</t>
    <phoneticPr fontId="20" type="noConversion"/>
  </si>
  <si>
    <t>계정대체</t>
    <phoneticPr fontId="20" type="noConversion"/>
  </si>
  <si>
    <t>코드</t>
    <phoneticPr fontId="20" type="noConversion"/>
  </si>
  <si>
    <t>비고</t>
    <phoneticPr fontId="20" type="noConversion"/>
  </si>
  <si>
    <t>내부거래</t>
    <phoneticPr fontId="20" type="noConversion"/>
  </si>
  <si>
    <t>Ent 투자자본 상계</t>
    <phoneticPr fontId="20" type="noConversion"/>
  </si>
  <si>
    <t>LDC 투자자본 상계</t>
    <phoneticPr fontId="20" type="noConversion"/>
  </si>
  <si>
    <t>영업권</t>
    <phoneticPr fontId="20" type="noConversion"/>
  </si>
  <si>
    <t>최초</t>
    <phoneticPr fontId="20" type="noConversion"/>
  </si>
  <si>
    <t>17년 상각</t>
    <phoneticPr fontId="20" type="noConversion"/>
  </si>
  <si>
    <t>18년 상각</t>
    <phoneticPr fontId="20" type="noConversion"/>
  </si>
  <si>
    <t>18년 해외환산</t>
    <phoneticPr fontId="20" type="noConversion"/>
  </si>
  <si>
    <t>19년 해외환산</t>
    <phoneticPr fontId="20" type="noConversion"/>
  </si>
  <si>
    <t>19년 손상</t>
    <phoneticPr fontId="20" type="noConversion"/>
  </si>
  <si>
    <t>19년 손상 취소</t>
    <phoneticPr fontId="20" type="noConversion"/>
  </si>
  <si>
    <t>순자산</t>
    <phoneticPr fontId="20" type="noConversion"/>
  </si>
  <si>
    <t>순서</t>
    <phoneticPr fontId="20" type="noConversion"/>
  </si>
  <si>
    <t>x</t>
    <phoneticPr fontId="20" type="noConversion"/>
  </si>
  <si>
    <t>부채</t>
    <phoneticPr fontId="20" type="noConversion"/>
  </si>
  <si>
    <t>자본</t>
    <phoneticPr fontId="20" type="noConversion"/>
  </si>
  <si>
    <t>수익</t>
    <phoneticPr fontId="20" type="noConversion"/>
  </si>
  <si>
    <t>1,5,8,</t>
  </si>
  <si>
    <t>1,5,8,</t>
    <phoneticPr fontId="20" type="noConversion"/>
  </si>
  <si>
    <t>자산</t>
    <phoneticPr fontId="20" type="noConversion"/>
  </si>
  <si>
    <t>기초</t>
    <phoneticPr fontId="20" type="noConversion"/>
  </si>
  <si>
    <t>변동</t>
    <phoneticPr fontId="20" type="noConversion"/>
  </si>
  <si>
    <t>FSC</t>
    <phoneticPr fontId="20" type="noConversion"/>
  </si>
  <si>
    <t>미수수익(원화)</t>
  </si>
  <si>
    <t>미수수익(외화)</t>
  </si>
  <si>
    <t>변경</t>
    <phoneticPr fontId="20" type="noConversion"/>
  </si>
  <si>
    <t>선수금(원화_음반)</t>
  </si>
  <si>
    <t>선수금(원화_CMD)</t>
  </si>
  <si>
    <t>선수금(원화_디바이스)</t>
  </si>
  <si>
    <t>선수금(외화_디바이스)</t>
  </si>
  <si>
    <t>선수금(원화_FLO)</t>
  </si>
  <si>
    <t>900020</t>
  </si>
  <si>
    <t>종속기업 및 관계기업투자주식</t>
  </si>
  <si>
    <t>종속기업투자주식손상누계액</t>
  </si>
  <si>
    <t>630000-1</t>
  </si>
  <si>
    <t>630000-1</t>
    <phoneticPr fontId="20" type="noConversion"/>
  </si>
  <si>
    <t>630000-2</t>
  </si>
  <si>
    <t>630000-2</t>
    <phoneticPr fontId="20" type="noConversion"/>
  </si>
  <si>
    <t>단기, 소액 리스 대체</t>
    <phoneticPr fontId="20" type="noConversion"/>
  </si>
  <si>
    <t>[별도]</t>
    <phoneticPr fontId="20" type="noConversion"/>
  </si>
  <si>
    <t>개발중인자산</t>
  </si>
  <si>
    <t>외상매입금(원화_추정_FLO 매출)</t>
  </si>
  <si>
    <t>T업로드</t>
  </si>
  <si>
    <t>업로드 이후 수정</t>
  </si>
  <si>
    <t>유형자산처분이익</t>
    <phoneticPr fontId="20" type="noConversion"/>
  </si>
  <si>
    <t>무형자산처분이익</t>
    <phoneticPr fontId="20" type="noConversion"/>
  </si>
  <si>
    <t>채무면제이익</t>
    <phoneticPr fontId="20" type="noConversion"/>
  </si>
  <si>
    <t>잡이익</t>
    <phoneticPr fontId="20" type="noConversion"/>
  </si>
  <si>
    <t>무형자산평가손실(손상차손)</t>
    <phoneticPr fontId="20" type="noConversion"/>
  </si>
  <si>
    <t>유형자산처분손실</t>
    <phoneticPr fontId="20" type="noConversion"/>
  </si>
  <si>
    <t>유형자산폐기손실</t>
    <phoneticPr fontId="20" type="noConversion"/>
  </si>
  <si>
    <t>소송충당부채전입액</t>
    <phoneticPr fontId="20" type="noConversion"/>
  </si>
  <si>
    <t>잡손실</t>
    <phoneticPr fontId="20" type="noConversion"/>
  </si>
  <si>
    <t>214363</t>
  </si>
  <si>
    <t>선수금(원화_공연사업)</t>
  </si>
  <si>
    <t>214364</t>
  </si>
  <si>
    <t>112539</t>
  </si>
  <si>
    <t>선급금(외화_공연기획)</t>
  </si>
  <si>
    <t>미지급부가세</t>
  </si>
  <si>
    <t>조정전</t>
    <phoneticPr fontId="20" type="noConversion"/>
  </si>
  <si>
    <t>2019.12.31</t>
    <phoneticPr fontId="20" type="noConversion"/>
  </si>
  <si>
    <t>2019.1.1(전기초)</t>
    <phoneticPr fontId="20" type="noConversion"/>
  </si>
  <si>
    <t>2020.1.1(당기초)</t>
    <phoneticPr fontId="20" type="noConversion"/>
  </si>
  <si>
    <t>2020 1Q</t>
    <phoneticPr fontId="20" type="noConversion"/>
  </si>
  <si>
    <t>드림어스</t>
    <phoneticPr fontId="20" type="noConversion"/>
  </si>
  <si>
    <t>LDC 미수부가세</t>
    <phoneticPr fontId="20" type="noConversion"/>
  </si>
  <si>
    <t>LDC 미지급부가세</t>
    <phoneticPr fontId="20" type="noConversion"/>
  </si>
  <si>
    <t>부가세예수금</t>
    <phoneticPr fontId="20" type="noConversion"/>
  </si>
  <si>
    <t>미수부가세</t>
    <phoneticPr fontId="20" type="noConversion"/>
  </si>
  <si>
    <t>미지급부가세</t>
    <phoneticPr fontId="20" type="noConversion"/>
  </si>
  <si>
    <t>부가세 대급금/예수금 상계</t>
    <phoneticPr fontId="20" type="noConversion"/>
  </si>
  <si>
    <t>FY2019 Q4</t>
    <phoneticPr fontId="17" type="noConversion"/>
  </si>
  <si>
    <t>Change in FY2020 Q1</t>
    <phoneticPr fontId="20" type="noConversion"/>
  </si>
  <si>
    <t>2020.03.31</t>
    <phoneticPr fontId="20" type="noConversion"/>
  </si>
  <si>
    <t>수정해야함</t>
    <phoneticPr fontId="20" type="noConversion"/>
  </si>
  <si>
    <t>01. 드림어스컴퍼니_FY2019 Q4 연결주석_Part1_0210v2.xlsx</t>
    <phoneticPr fontId="20" type="noConversion"/>
  </si>
  <si>
    <t>2020 1Q</t>
    <phoneticPr fontId="20" type="noConversion"/>
  </si>
  <si>
    <t>미수수익(외화)</t>
    <phoneticPr fontId="20" type="noConversion"/>
  </si>
  <si>
    <t>참고사항</t>
    <phoneticPr fontId="20" type="noConversion"/>
  </si>
  <si>
    <t>Update 완료</t>
    <phoneticPr fontId="20" type="noConversion"/>
  </si>
  <si>
    <t>Update 예정</t>
    <phoneticPr fontId="20" type="noConversion"/>
  </si>
  <si>
    <t>재무정보 in Local Currency / KRW</t>
  </si>
  <si>
    <t>Reporting date</t>
  </si>
  <si>
    <t>Currency</t>
  </si>
  <si>
    <t>2020.03.31</t>
    <phoneticPr fontId="20" type="noConversion"/>
  </si>
  <si>
    <t>2102</t>
  </si>
  <si>
    <t>2109</t>
  </si>
  <si>
    <t>3408</t>
  </si>
  <si>
    <t>220000-1</t>
  </si>
  <si>
    <t>FY2019_공시</t>
    <phoneticPr fontId="20" type="noConversion"/>
  </si>
  <si>
    <t>    재고자산평가손실(환입액)</t>
    <phoneticPr fontId="20" type="noConversion"/>
  </si>
  <si>
    <t>    기타수익</t>
    <phoneticPr fontId="20" type="noConversion"/>
  </si>
  <si>
    <t>기타수익</t>
    <phoneticPr fontId="20" type="noConversion"/>
  </si>
  <si>
    <t>20년 1Q 업로드 이후 수정사항</t>
    <phoneticPr fontId="20" type="noConversion"/>
  </si>
  <si>
    <t>?</t>
  </si>
  <si>
    <t>추가</t>
  </si>
  <si>
    <t>대여금(외화)</t>
  </si>
  <si>
    <t>임차보증금(비유동_전신가입)</t>
  </si>
  <si>
    <t>임차보증금(비유동_현할차)</t>
  </si>
  <si>
    <t>투자주식처분손실</t>
  </si>
  <si>
    <t>복구충당부채전입액</t>
    <phoneticPr fontId="20" type="noConversion"/>
  </si>
  <si>
    <t>잡이익_리스해지관련</t>
    <phoneticPr fontId="20" type="noConversion"/>
  </si>
  <si>
    <t>    기타수익</t>
  </si>
  <si>
    <t>FY2020</t>
    <phoneticPr fontId="20" type="noConversion"/>
  </si>
  <si>
    <t>회원권</t>
    <phoneticPr fontId="20" type="noConversion"/>
  </si>
  <si>
    <t>2020 1Q</t>
    <phoneticPr fontId="20" type="noConversion"/>
  </si>
  <si>
    <t>2020 1Q</t>
  </si>
  <si>
    <t>회원권</t>
    <phoneticPr fontId="20" type="noConversion"/>
  </si>
  <si>
    <t>T198</t>
    <phoneticPr fontId="20" type="noConversion"/>
  </si>
  <si>
    <t>이익율</t>
    <phoneticPr fontId="20" type="noConversion"/>
  </si>
  <si>
    <t>평균환율</t>
    <phoneticPr fontId="20" type="noConversion"/>
  </si>
  <si>
    <t>기말환율</t>
    <phoneticPr fontId="20" type="noConversion"/>
  </si>
  <si>
    <t>수량</t>
    <phoneticPr fontId="20" type="noConversion"/>
  </si>
  <si>
    <t>품목코드</t>
    <phoneticPr fontId="20" type="noConversion"/>
  </si>
  <si>
    <t>판가 JPY</t>
    <phoneticPr fontId="20" type="noConversion"/>
  </si>
  <si>
    <t>판가 KRW</t>
    <phoneticPr fontId="20" type="noConversion"/>
  </si>
  <si>
    <t>품목명</t>
    <phoneticPr fontId="20" type="noConversion"/>
  </si>
  <si>
    <t>재고 JPY</t>
    <phoneticPr fontId="20" type="noConversion"/>
  </si>
  <si>
    <t>원가 KRW</t>
    <phoneticPr fontId="20" type="noConversion"/>
  </si>
  <si>
    <t>재고</t>
    <phoneticPr fontId="20" type="noConversion"/>
  </si>
  <si>
    <t>미실현</t>
    <phoneticPr fontId="20" type="noConversion"/>
  </si>
  <si>
    <t>상품매출할인및에누리(내수)</t>
    <phoneticPr fontId="20" type="noConversion"/>
  </si>
  <si>
    <t>추가</t>
    <phoneticPr fontId="20" type="noConversion"/>
  </si>
  <si>
    <t>추가</t>
    <phoneticPr fontId="20" type="noConversion"/>
  </si>
  <si>
    <t>선수금(원화_음원)</t>
  </si>
  <si>
    <t>평균환율</t>
    <phoneticPr fontId="20" type="noConversion"/>
  </si>
  <si>
    <t>독점판매권</t>
  </si>
  <si>
    <t>독점판매권</t>
    <phoneticPr fontId="20" type="noConversion"/>
  </si>
  <si>
    <t>연결5-1</t>
  </si>
  <si>
    <t>연결5-1</t>
    <phoneticPr fontId="20" type="noConversion"/>
  </si>
  <si>
    <t>독점판매권상각누계액</t>
  </si>
  <si>
    <t>독점판매권상각누계액</t>
    <phoneticPr fontId="20" type="noConversion"/>
  </si>
  <si>
    <t>DR</t>
    <phoneticPr fontId="20" type="noConversion"/>
  </si>
  <si>
    <t>CR</t>
    <phoneticPr fontId="20" type="noConversion"/>
  </si>
  <si>
    <t xml:space="preserve"> 임차보증금(유동)현재가치할인차금</t>
  </si>
  <si>
    <t>2019</t>
    <phoneticPr fontId="20" type="noConversion"/>
  </si>
  <si>
    <t>2020년 6월말</t>
    <phoneticPr fontId="20" type="noConversion"/>
  </si>
  <si>
    <t>수익</t>
    <phoneticPr fontId="20" type="noConversion"/>
  </si>
  <si>
    <t>비용</t>
    <phoneticPr fontId="20" type="noConversion"/>
  </si>
  <si>
    <t>NI</t>
    <phoneticPr fontId="20" type="noConversion"/>
  </si>
  <si>
    <t>계약부채_반품</t>
  </si>
  <si>
    <t>계약부채_반품</t>
    <phoneticPr fontId="20" type="noConversion"/>
  </si>
  <si>
    <t>거래통화금액</t>
  </si>
  <si>
    <t>현지통화코드</t>
  </si>
  <si>
    <t>현지통화금액</t>
  </si>
  <si>
    <t>IFRS</t>
  </si>
  <si>
    <t>회원권</t>
  </si>
  <si>
    <t>T198_TB</t>
    <phoneticPr fontId="20" type="noConversion"/>
  </si>
  <si>
    <t>검증</t>
    <phoneticPr fontId="20" type="noConversion"/>
  </si>
  <si>
    <t>계약부채 code 확인</t>
    <phoneticPr fontId="20" type="noConversion"/>
  </si>
  <si>
    <t>2020.06.30</t>
    <phoneticPr fontId="20" type="noConversion"/>
  </si>
  <si>
    <t> 현금및현금성자산</t>
  </si>
  <si>
    <t> 매출채권및기타채권</t>
  </si>
  <si>
    <t> 단기투자자산</t>
  </si>
  <si>
    <t> 재고자산</t>
  </si>
  <si>
    <t> 당기법인세자산</t>
  </si>
  <si>
    <t> 기타유동자산</t>
  </si>
  <si>
    <t> 장기투자자산</t>
  </si>
  <si>
    <t> 관계기업투자주식</t>
  </si>
  <si>
    <t> 유형자산</t>
  </si>
  <si>
    <t>3,9</t>
  </si>
  <si>
    <t> 무형자산</t>
  </si>
  <si>
    <t> 기타비유동자산</t>
  </si>
  <si>
    <t> 매입채무및기타채무</t>
  </si>
  <si>
    <t>5,11,23</t>
  </si>
  <si>
    <t> 유동금융부채</t>
  </si>
  <si>
    <t>5,13</t>
  </si>
  <si>
    <t> 기타유동부채</t>
  </si>
  <si>
    <t> 당기법인세부채</t>
  </si>
  <si>
    <t> 리스부채</t>
  </si>
  <si>
    <t>3,5</t>
  </si>
  <si>
    <t> 순확정급여부채</t>
  </si>
  <si>
    <t> 기타비유동부채</t>
  </si>
  <si>
    <t> 이연법인세부채</t>
  </si>
  <si>
    <t>I. 지배기업소유주에 귀속되는 자본</t>
  </si>
  <si>
    <t> 자본금</t>
  </si>
  <si>
    <t>1,15</t>
  </si>
  <si>
    <t> 자본잉여금</t>
  </si>
  <si>
    <t> 기타자본항목</t>
  </si>
  <si>
    <t>16,17</t>
  </si>
  <si>
    <t> 결손금</t>
  </si>
  <si>
    <t>II. 비지배지분</t>
  </si>
  <si>
    <t>제 22 (당)반기말</t>
    <phoneticPr fontId="17" type="noConversion"/>
  </si>
  <si>
    <t>제 21 (전)기말</t>
    <phoneticPr fontId="20" type="noConversion"/>
  </si>
  <si>
    <t>제 22기 반기말</t>
    <phoneticPr fontId="20" type="noConversion"/>
  </si>
  <si>
    <t>제 21기말</t>
    <phoneticPr fontId="20" type="noConversion"/>
  </si>
  <si>
    <t xml:space="preserve">  매입채무및기타채무</t>
    <phoneticPr fontId="20" type="noConversion"/>
  </si>
  <si>
    <t>과                        목</t>
  </si>
  <si>
    <t>3 개 월</t>
  </si>
  <si>
    <t>누  적</t>
  </si>
  <si>
    <t>17,23</t>
  </si>
  <si>
    <t>5,17,23</t>
  </si>
  <si>
    <t>  판매비와관리비</t>
  </si>
  <si>
    <t>18,23</t>
  </si>
  <si>
    <t>  금융수익</t>
  </si>
  <si>
    <t>  금융비용</t>
  </si>
  <si>
    <t>  기타영업외수익</t>
  </si>
  <si>
    <t>  기타영업외비용</t>
  </si>
  <si>
    <t>  법인세비용</t>
  </si>
  <si>
    <t>Ⅵ.반기순이익(손실)</t>
  </si>
  <si>
    <t>VII. 기타포괄이익(손실)</t>
  </si>
  <si>
    <t> 후속적으로 당기손익으로 재분류되지 않는 포괄손익</t>
  </si>
  <si>
    <t>  확정급여제도의 재측정요소</t>
  </si>
  <si>
    <t>IX. 주당이익(손실)</t>
  </si>
  <si>
    <t>  기본주당이익(손실)</t>
  </si>
  <si>
    <t>  희석주당이익(손실)</t>
  </si>
  <si>
    <t>제22기 반기</t>
    <phoneticPr fontId="20" type="noConversion"/>
  </si>
  <si>
    <t>제21기 반기</t>
    <phoneticPr fontId="20" type="noConversion"/>
  </si>
  <si>
    <t> 후속적으로 당기손익으로 재분류되는 포괄손익</t>
    <phoneticPr fontId="20" type="noConversion"/>
  </si>
  <si>
    <t xml:space="preserve">   해외사업장환산외환차이</t>
    <phoneticPr fontId="20" type="noConversion"/>
  </si>
  <si>
    <t>  지배기업의 소유주지분</t>
    <phoneticPr fontId="20" type="noConversion"/>
  </si>
  <si>
    <t xml:space="preserve">  비지배지분</t>
    <phoneticPr fontId="20" type="noConversion"/>
  </si>
  <si>
    <t>-</t>
    <phoneticPr fontId="20" type="noConversion"/>
  </si>
  <si>
    <t xml:space="preserve"> 사업결합</t>
    <phoneticPr fontId="20" type="noConversion"/>
  </si>
  <si>
    <t>당기순손실</t>
    <phoneticPr fontId="20" type="noConversion"/>
  </si>
  <si>
    <t>재고자산폐기손실</t>
    <phoneticPr fontId="20" type="noConversion"/>
  </si>
  <si>
    <t xml:space="preserve">    재고자산폐기손실</t>
    <phoneticPr fontId="20" type="noConversion"/>
  </si>
  <si>
    <t>잡손실</t>
    <phoneticPr fontId="20" type="noConversion"/>
  </si>
  <si>
    <t xml:space="preserve">    잡손실</t>
    <phoneticPr fontId="20" type="noConversion"/>
  </si>
  <si>
    <t>기타비유동부채의 증가(감소)</t>
    <phoneticPr fontId="20" type="noConversion"/>
  </si>
  <si>
    <t>5. 법인세의 환급</t>
    <phoneticPr fontId="20" type="noConversion"/>
  </si>
  <si>
    <t>법인세의 환급</t>
    <phoneticPr fontId="20" type="noConversion"/>
  </si>
  <si>
    <t>무형자산의 취득</t>
    <phoneticPr fontId="20" type="noConversion"/>
  </si>
  <si>
    <t>기타비유동자산의 감소(증가)</t>
    <phoneticPr fontId="20" type="noConversion"/>
  </si>
  <si>
    <t>기타비유동지산의 감소(증가)</t>
    <phoneticPr fontId="20" type="noConversion"/>
  </si>
  <si>
    <t>과               목</t>
  </si>
  <si>
    <t>제 21 (당)기말</t>
  </si>
  <si>
    <t>제 20 (전)기말</t>
  </si>
  <si>
    <t>자                        산</t>
  </si>
  <si>
    <t>자      산      총      계</t>
  </si>
  <si>
    <t>부                        채</t>
  </si>
  <si>
    <t> 장기리스부채</t>
  </si>
  <si>
    <t>부      채      총      계</t>
  </si>
  <si>
    <t>자                        본</t>
  </si>
  <si>
    <t>1,17</t>
  </si>
  <si>
    <t>18,20</t>
  </si>
  <si>
    <t>자      본      총      계</t>
  </si>
  <si>
    <t>부  채  및  자  본  총  계</t>
  </si>
  <si>
    <t>6,7,27</t>
  </si>
  <si>
    <t>3, 5,11,29</t>
  </si>
  <si>
    <t>5,12,27</t>
  </si>
  <si>
    <t>6,7,13,16,27</t>
  </si>
  <si>
    <t>6,7,15,27</t>
  </si>
  <si>
    <t>6, 14,27</t>
  </si>
  <si>
    <t>3, 6,7,29</t>
  </si>
  <si>
    <t>6,7,13</t>
  </si>
  <si>
    <t>제 21 기 2019년 12월 31일 현재</t>
  </si>
  <si>
    <t>제 20 기 2018년 12월 31일 현재</t>
  </si>
  <si>
    <t>전기대사</t>
    <phoneticPr fontId="20" type="noConversion"/>
  </si>
  <si>
    <t>2020 2Q</t>
  </si>
  <si>
    <t>2020 2Q</t>
    <phoneticPr fontId="20" type="noConversion"/>
  </si>
  <si>
    <r>
      <t xml:space="preserve">Change in FY2020 </t>
    </r>
    <r>
      <rPr>
        <b/>
        <sz val="9"/>
        <color theme="0"/>
        <rFont val="맑은 고딕"/>
        <family val="3"/>
        <charset val="129"/>
      </rPr>
      <t>Q2</t>
    </r>
    <phoneticPr fontId="20" type="noConversion"/>
  </si>
  <si>
    <t>손상누계</t>
    <phoneticPr fontId="20" type="noConversion"/>
  </si>
  <si>
    <t>라임</t>
    <phoneticPr fontId="20" type="noConversion"/>
  </si>
  <si>
    <t>기초환율</t>
    <phoneticPr fontId="20" type="noConversion"/>
  </si>
  <si>
    <t>손상/상각</t>
  </si>
  <si>
    <t>환차</t>
  </si>
  <si>
    <t>취득</t>
    <phoneticPr fontId="20" type="noConversion"/>
  </si>
  <si>
    <t>손상/상각</t>
    <phoneticPr fontId="20" type="noConversion"/>
  </si>
  <si>
    <t>환차</t>
    <phoneticPr fontId="20" type="noConversion"/>
  </si>
  <si>
    <t>기말</t>
    <phoneticPr fontId="20" type="noConversion"/>
  </si>
  <si>
    <t>독점권</t>
  </si>
  <si>
    <t>독점권</t>
    <phoneticPr fontId="20" type="noConversion"/>
  </si>
  <si>
    <t>이연</t>
  </si>
  <si>
    <t>이연</t>
    <phoneticPr fontId="20" type="noConversion"/>
  </si>
  <si>
    <t>인수대가</t>
  </si>
  <si>
    <t>인수대가</t>
    <phoneticPr fontId="20" type="noConversion"/>
  </si>
  <si>
    <t>(단위:천원)</t>
  </si>
  <si>
    <t>구 분</t>
  </si>
  <si>
    <t>당반기말</t>
  </si>
  <si>
    <t>전기말</t>
  </si>
  <si>
    <t>취득원가</t>
  </si>
  <si>
    <t>상각누계액</t>
  </si>
  <si>
    <t>손상차손누계액</t>
  </si>
  <si>
    <t>장부금액</t>
  </si>
  <si>
    <t>손상</t>
    <phoneticPr fontId="20" type="noConversion"/>
  </si>
  <si>
    <t>합 계</t>
  </si>
  <si>
    <t>연결조정추가</t>
    <phoneticPr fontId="20" type="noConversion"/>
  </si>
  <si>
    <t>SMLDC(연결)</t>
    <phoneticPr fontId="20" type="noConversion"/>
  </si>
  <si>
    <t>아이리버CS(연결)</t>
    <phoneticPr fontId="20" type="noConversion"/>
  </si>
  <si>
    <t>SMMCJP(연결)</t>
    <phoneticPr fontId="20" type="noConversion"/>
  </si>
  <si>
    <t>연결</t>
    <phoneticPr fontId="20" type="noConversion"/>
  </si>
  <si>
    <t>별도</t>
    <phoneticPr fontId="20" type="noConversion"/>
  </si>
  <si>
    <t>장부가액</t>
    <phoneticPr fontId="20" type="noConversion"/>
  </si>
  <si>
    <t>취득가액</t>
    <phoneticPr fontId="20" type="noConversion"/>
  </si>
  <si>
    <t>2020 3Q</t>
    <phoneticPr fontId="20" type="noConversion"/>
  </si>
  <si>
    <t>LDC</t>
    <phoneticPr fontId="20" type="noConversion"/>
  </si>
  <si>
    <t>제품</t>
    <phoneticPr fontId="20" type="noConversion"/>
  </si>
  <si>
    <t>상품</t>
    <phoneticPr fontId="20" type="noConversion"/>
  </si>
  <si>
    <t>115100</t>
    <phoneticPr fontId="20" type="noConversion"/>
  </si>
  <si>
    <t>상품매출원가</t>
    <phoneticPr fontId="20" type="noConversion"/>
  </si>
  <si>
    <t>제품미실현손익 반영</t>
    <phoneticPr fontId="20" type="noConversion"/>
  </si>
  <si>
    <t>상품미실현손익 반영</t>
    <phoneticPr fontId="20" type="noConversion"/>
  </si>
  <si>
    <t>연결 부가세 대급금/예수금 상계</t>
    <phoneticPr fontId="20" type="noConversion"/>
  </si>
  <si>
    <t>판매(JPY)</t>
    <phoneticPr fontId="20" type="noConversion"/>
  </si>
  <si>
    <t>판매(KRW)</t>
    <phoneticPr fontId="20" type="noConversion"/>
  </si>
  <si>
    <t>드림어스: 제품- &gt; LDC 상품 실현분 매출계정대체</t>
    <phoneticPr fontId="20" type="noConversion"/>
  </si>
  <si>
    <t>2020년 9월말</t>
    <phoneticPr fontId="20" type="noConversion"/>
  </si>
  <si>
    <t>2020.09.30</t>
    <phoneticPr fontId="20" type="noConversion"/>
  </si>
  <si>
    <t>2020 4Q</t>
    <phoneticPr fontId="20" type="noConversion"/>
  </si>
  <si>
    <t>누적</t>
    <phoneticPr fontId="20" type="noConversion"/>
  </si>
  <si>
    <t>Change in FY2020 Q3</t>
    <phoneticPr fontId="20" type="noConversion"/>
  </si>
  <si>
    <t>Change in FY2020 Q4</t>
    <phoneticPr fontId="20" type="noConversion"/>
  </si>
  <si>
    <t>JPY</t>
    <phoneticPr fontId="20" type="noConversion"/>
  </si>
  <si>
    <t>KRW</t>
    <phoneticPr fontId="20" type="noConversion"/>
  </si>
  <si>
    <t>해외사업환산손익(당기)</t>
    <phoneticPr fontId="20" type="noConversion"/>
  </si>
  <si>
    <t>Minions BTスピーカー（BOB）</t>
  </si>
  <si>
    <t>Minions BTスピーカー（KEVIN）</t>
  </si>
  <si>
    <t>Minions BTスピーカー（OTTO）</t>
  </si>
  <si>
    <t>IRIVER MINIONS WIRELESS EARBUDS</t>
  </si>
  <si>
    <t>Minions　歯ブラシ除菌器</t>
  </si>
  <si>
    <t>SMEJSM-200001(2SM002-CMXX69)</t>
  </si>
  <si>
    <t>superM オフィシャルオフィシャルペンライト</t>
  </si>
  <si>
    <t>SMEJSM-200003(4ET013-CMXX22)</t>
  </si>
  <si>
    <t>MINI　FANLIGHT KEYRING</t>
  </si>
  <si>
    <t>전기미실현손익 실현</t>
    <phoneticPr fontId="20" type="noConversion"/>
  </si>
  <si>
    <t>제품매출원가</t>
    <phoneticPr fontId="20" type="noConversion"/>
  </si>
  <si>
    <t>V1.0</t>
    <phoneticPr fontId="20" type="noConversion"/>
  </si>
  <si>
    <t>제품매출</t>
    <phoneticPr fontId="20" type="noConversion"/>
  </si>
  <si>
    <t>외부</t>
    <phoneticPr fontId="20" type="noConversion"/>
  </si>
  <si>
    <t>상품매출</t>
    <phoneticPr fontId="20" type="noConversion"/>
  </si>
  <si>
    <t>기말제품재고</t>
    <phoneticPr fontId="20" type="noConversion"/>
  </si>
  <si>
    <t>드림어스: 제품- &gt; LDC 상품 실현분 매출원가 계정 대체</t>
    <phoneticPr fontId="20" type="noConversion"/>
  </si>
  <si>
    <t>분기별</t>
    <phoneticPr fontId="20" type="noConversion"/>
  </si>
  <si>
    <t>LDC독점판매권 손상반영</t>
    <phoneticPr fontId="20" type="noConversion"/>
  </si>
  <si>
    <t>금액</t>
    <phoneticPr fontId="20" type="noConversion"/>
  </si>
  <si>
    <t>&lt;LDC 판매분 불용재고&gt;</t>
    <phoneticPr fontId="20" type="noConversion"/>
  </si>
  <si>
    <t>LDC판매 불용재고 충당금 반영</t>
    <phoneticPr fontId="20" type="noConversion"/>
  </si>
  <si>
    <t>종속기업투자주식평가손실누계액</t>
  </si>
  <si>
    <t>선수금(외화_콘텐츠)</t>
  </si>
  <si>
    <t>A11022</t>
  </si>
  <si>
    <t>SM Mobile Communications JAPAN Inc.</t>
  </si>
  <si>
    <t>드림어스: 제품- &gt; LDC 상품 미실현분 재고계정대체</t>
    <phoneticPr fontId="20" type="noConversion"/>
  </si>
  <si>
    <t>선수금(외화_콘텐츠)</t>
    <phoneticPr fontId="20" type="noConversion"/>
  </si>
  <si>
    <t>IMB-B01(4IMB01-CMYE01)</t>
    <phoneticPr fontId="53" type="noConversion"/>
  </si>
  <si>
    <t>IMB-K01(4IMB01-CMYE02)</t>
    <phoneticPr fontId="53" type="noConversion"/>
  </si>
  <si>
    <t>IMB-O01(4IMB01-CMYE03)</t>
    <phoneticPr fontId="53" type="noConversion"/>
  </si>
  <si>
    <t>IMT-B01(4IMB01-CMYE07)</t>
    <phoneticPr fontId="53" type="noConversion"/>
  </si>
  <si>
    <t>IMS-B01(4IMB01-CMYE08)</t>
    <phoneticPr fontId="53" type="noConversion"/>
  </si>
  <si>
    <t xml:space="preserve"> 사용권자산(기타)</t>
  </si>
  <si>
    <t xml:space="preserve"> 사용권자산(기타)감가상각누계액</t>
  </si>
  <si>
    <t xml:space="preserve">  사용권감가/기타</t>
  </si>
  <si>
    <t>733800</t>
  </si>
  <si>
    <t>2020.12.31</t>
    <phoneticPr fontId="20" type="noConversion"/>
  </si>
  <si>
    <t>VAR</t>
    <phoneticPr fontId="20" type="noConversion"/>
  </si>
  <si>
    <t>FY2020 Q4</t>
    <phoneticPr fontId="20" type="noConversion"/>
  </si>
  <si>
    <t>FY2019 Q4</t>
    <phoneticPr fontId="20" type="noConversion"/>
  </si>
  <si>
    <t>가중평균유통보통주식수</t>
    <phoneticPr fontId="20" type="noConversion"/>
  </si>
  <si>
    <t>평균환율</t>
    <phoneticPr fontId="20" type="noConversion"/>
  </si>
  <si>
    <t>기말환율</t>
    <phoneticPr fontId="20" type="noConversion"/>
  </si>
  <si>
    <t>퇴직급여</t>
    <phoneticPr fontId="20" type="noConversion"/>
  </si>
  <si>
    <t>복리후생비</t>
    <phoneticPr fontId="20" type="noConversion"/>
  </si>
  <si>
    <t>여비교통비</t>
    <phoneticPr fontId="20" type="noConversion"/>
  </si>
  <si>
    <t>세금과공과</t>
    <phoneticPr fontId="20" type="noConversion"/>
  </si>
  <si>
    <t>단기리스료</t>
    <phoneticPr fontId="20" type="noConversion"/>
  </si>
  <si>
    <t>소액리스료</t>
    <phoneticPr fontId="20" type="noConversion"/>
  </si>
  <si>
    <t>외환차손</t>
    <phoneticPr fontId="20" type="noConversion"/>
  </si>
  <si>
    <t>V5.0</t>
    <phoneticPr fontId="20" type="noConversion"/>
  </si>
  <si>
    <t>V4.5</t>
    <phoneticPr fontId="20" type="noConversion"/>
  </si>
  <si>
    <t>V4.6</t>
    <phoneticPr fontId="20" type="noConversion"/>
  </si>
  <si>
    <t>독점판매권손상누계액</t>
    <phoneticPr fontId="20" type="noConversion"/>
  </si>
  <si>
    <t>연결5-2</t>
    <phoneticPr fontId="20" type="noConversion"/>
  </si>
  <si>
    <t>대손충당금(미수금_원화_공연투자자산)</t>
  </si>
  <si>
    <t>2019.12.31(전기말)</t>
    <phoneticPr fontId="20" type="noConversion"/>
  </si>
  <si>
    <t>2020.12.31(당기말)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</si>
</sst>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#,###;[Red]\(#,###\);\-"/>
    <numFmt numFmtId="177" formatCode="_-* #,##0.0000_-;\-* #,##0.0000_-;_-* &quot;-&quot;_-;_-@_-"/>
    <numFmt numFmtId="178" formatCode="#,###.000;[Red]\(#,###.000\);\-"/>
    <numFmt numFmtId="179" formatCode="###,###,###,###"/>
    <numFmt numFmtId="180" formatCode="_-* #,##0.000000_-;\-* #,##0.000000_-;_-* &quot;-&quot;_-;_-@_-"/>
    <numFmt numFmtId="181" formatCode="#,##0;[Red]\(#,##0\);\-"/>
    <numFmt numFmtId="182" formatCode="#,###.00;[Red]\(#,###.00\);\-"/>
    <numFmt numFmtId="183" formatCode="0_);[Red]\(0\)"/>
    <numFmt numFmtId="184" formatCode="#,###.00000;[Red]\(#,###.00000\);\-"/>
    <numFmt numFmtId="185" formatCode="#,###.0000000000;[Red]\(#,###.0000000000\);\-"/>
    <numFmt numFmtId="186" formatCode="#,##0_);[Red]\(#,##0\)"/>
    <numFmt numFmtId="187" formatCode="#,###.0000;[Red]\(#,###.0000\);\-"/>
  </numFmts>
  <fonts count="5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함초롬돋움"/>
      <family val="3"/>
      <charset val="129"/>
    </font>
    <font>
      <b/>
      <sz val="9"/>
      <color theme="1"/>
      <name val="함초롬돋움"/>
      <family val="3"/>
      <charset val="129"/>
    </font>
    <font>
      <b/>
      <sz val="9"/>
      <color theme="0"/>
      <name val="함초롬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color rgb="FFC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rgb="FFC00000"/>
      <name val="함초롬돋움"/>
      <family val="3"/>
      <charset val="129"/>
    </font>
    <font>
      <b/>
      <sz val="9"/>
      <name val="함초롬돋움"/>
      <family val="3"/>
      <charset val="129"/>
    </font>
    <font>
      <sz val="9"/>
      <name val="함초롬돋움"/>
      <family val="3"/>
      <charset val="129"/>
    </font>
    <font>
      <sz val="9"/>
      <color indexed="9"/>
      <name val="함초롬돋움"/>
      <family val="3"/>
      <charset val="129"/>
    </font>
    <font>
      <sz val="9"/>
      <color indexed="8"/>
      <name val="함초롬돋움"/>
      <family val="3"/>
      <charset val="129"/>
    </font>
    <font>
      <b/>
      <sz val="9"/>
      <color theme="0" tint="-4.9989318521683403E-2"/>
      <name val="함초롬돋움"/>
      <family val="3"/>
      <charset val="129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name val="맑은 고딕"/>
      <family val="3"/>
      <charset val="129"/>
    </font>
    <font>
      <sz val="10"/>
      <color indexed="8"/>
      <name val="Arial"/>
      <family val="2"/>
    </font>
    <font>
      <sz val="9"/>
      <color theme="0"/>
      <name val="함초롬돋움"/>
      <family val="3"/>
      <charset val="129"/>
    </font>
    <font>
      <b/>
      <sz val="9"/>
      <color rgb="FF000000"/>
      <name val="함초롬돋움"/>
      <family val="3"/>
      <charset val="129"/>
    </font>
    <font>
      <sz val="9"/>
      <color rgb="FF000000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b/>
      <sz val="9"/>
      <color indexed="8"/>
      <name val="함초롬돋움"/>
      <family val="3"/>
      <charset val="129"/>
    </font>
    <font>
      <sz val="9"/>
      <color theme="1" tint="0.14999847407452621"/>
      <name val="함초롬돋움"/>
      <family val="3"/>
      <charset val="129"/>
    </font>
    <font>
      <sz val="9"/>
      <color rgb="FFC00000"/>
      <name val="함초롬돋움"/>
      <family val="3"/>
      <charset val="129"/>
    </font>
    <font>
      <sz val="9"/>
      <color theme="1" tint="0.14999847407452621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0000"/>
      <name val="굴림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9"/>
      <color theme="0" tint="-4.9989318521683403E-2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9"/>
      <color indexed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9"/>
      <color rgb="FFFF0000"/>
      <name val="함초롬돋움"/>
      <family val="3"/>
      <charset val="129"/>
    </font>
    <font>
      <sz val="11"/>
      <color rgb="FF1D1C1D"/>
      <name val="Arial"/>
      <family val="2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indexed="9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23055"/>
        <bgColor indexed="64"/>
      </patternFill>
    </fill>
    <fill>
      <patternFill patternType="solid">
        <fgColor rgb="FFF0F2F4"/>
        <bgColor indexed="64"/>
      </patternFill>
    </fill>
    <fill>
      <patternFill patternType="solid">
        <fgColor rgb="FF00295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153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1530"/>
      </left>
      <right/>
      <top style="medium">
        <color rgb="FF001530"/>
      </top>
      <bottom/>
      <diagonal/>
    </border>
    <border>
      <left/>
      <right/>
      <top style="medium">
        <color rgb="FF001530"/>
      </top>
      <bottom/>
      <diagonal/>
    </border>
    <border>
      <left/>
      <right style="medium">
        <color rgb="FF001530"/>
      </right>
      <top style="medium">
        <color rgb="FF001530"/>
      </top>
      <bottom/>
      <diagonal/>
    </border>
    <border>
      <left style="medium">
        <color rgb="FF001530"/>
      </left>
      <right/>
      <top/>
      <bottom/>
      <diagonal/>
    </border>
    <border>
      <left/>
      <right style="medium">
        <color rgb="FF001530"/>
      </right>
      <top/>
      <bottom/>
      <diagonal/>
    </border>
    <border>
      <left style="medium">
        <color rgb="FF001530"/>
      </left>
      <right/>
      <top/>
      <bottom style="medium">
        <color rgb="FF001530"/>
      </bottom>
      <diagonal/>
    </border>
    <border>
      <left/>
      <right/>
      <top/>
      <bottom style="medium">
        <color rgb="FF001530"/>
      </bottom>
      <diagonal/>
    </border>
    <border>
      <left/>
      <right style="medium">
        <color rgb="FF001530"/>
      </right>
      <top/>
      <bottom style="medium">
        <color rgb="FF00153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medium">
        <color rgb="FF00153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153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1530"/>
      </right>
      <top style="medium">
        <color rgb="FF001530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153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thin">
        <color theme="0" tint="-0.249977111117893"/>
      </top>
      <bottom style="medium">
        <color rgb="FF00153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530"/>
      </bottom>
      <diagonal/>
    </border>
    <border>
      <left style="thin">
        <color theme="0" tint="-0.249977111117893"/>
      </left>
      <right style="medium">
        <color rgb="FF001530"/>
      </right>
      <top style="thin">
        <color theme="0" tint="-0.249977111117893"/>
      </top>
      <bottom style="medium">
        <color rgb="FF001530"/>
      </bottom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/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/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 style="medium">
        <color rgb="FF223055"/>
      </bottom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 style="medium">
        <color rgb="FF223055"/>
      </bottom>
      <diagonal/>
    </border>
    <border>
      <left style="medium">
        <color rgb="FF223055"/>
      </left>
      <right/>
      <top style="medium">
        <color rgb="FF223055"/>
      </top>
      <bottom/>
      <diagonal/>
    </border>
    <border>
      <left/>
      <right/>
      <top style="medium">
        <color rgb="FF223055"/>
      </top>
      <bottom/>
      <diagonal/>
    </border>
    <border>
      <left/>
      <right style="medium">
        <color rgb="FF223055"/>
      </right>
      <top style="medium">
        <color rgb="FF223055"/>
      </top>
      <bottom/>
      <diagonal/>
    </border>
    <border>
      <left style="medium">
        <color rgb="FF223055"/>
      </left>
      <right/>
      <top/>
      <bottom/>
      <diagonal/>
    </border>
    <border>
      <left/>
      <right style="medium">
        <color rgb="FF223055"/>
      </right>
      <top/>
      <bottom/>
      <diagonal/>
    </border>
    <border>
      <left style="medium">
        <color rgb="FF223055"/>
      </left>
      <right/>
      <top/>
      <bottom style="medium">
        <color rgb="FF223055"/>
      </bottom>
      <diagonal/>
    </border>
    <border>
      <left/>
      <right/>
      <top/>
      <bottom style="medium">
        <color rgb="FF223055"/>
      </bottom>
      <diagonal/>
    </border>
    <border>
      <left/>
      <right style="medium">
        <color rgb="FF223055"/>
      </right>
      <top/>
      <bottom style="medium">
        <color rgb="FF223055"/>
      </bottom>
      <diagonal/>
    </border>
    <border>
      <left style="medium">
        <color rgb="FF223055"/>
      </left>
      <right style="thin">
        <color theme="0" tint="-4.9989318521683403E-2"/>
      </right>
      <top style="medium">
        <color rgb="FF223055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223055"/>
      </top>
      <bottom style="thin">
        <color theme="0" tint="-4.9989318521683403E-2"/>
      </bottom>
      <diagonal/>
    </border>
    <border>
      <left style="medium">
        <color rgb="FF223055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223055"/>
      </left>
      <right style="thin">
        <color theme="0" tint="-4.9989318521683403E-2"/>
      </right>
      <top style="thin">
        <color theme="0" tint="-4.9989318521683403E-2"/>
      </top>
      <bottom style="medium">
        <color rgb="FF22305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223055"/>
      </bottom>
      <diagonal/>
    </border>
    <border>
      <left style="medium">
        <color rgb="FF223055"/>
      </left>
      <right style="medium">
        <color rgb="FF223055"/>
      </right>
      <top style="medium">
        <color rgb="FF223055"/>
      </top>
      <bottom/>
      <diagonal/>
    </border>
    <border>
      <left style="medium">
        <color rgb="FF223055"/>
      </left>
      <right style="medium">
        <color rgb="FF223055"/>
      </right>
      <top/>
      <bottom/>
      <diagonal/>
    </border>
    <border>
      <left style="medium">
        <color rgb="FF223055"/>
      </left>
      <right style="medium">
        <color rgb="FF223055"/>
      </right>
      <top/>
      <bottom style="medium">
        <color rgb="FF22305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223055"/>
      </top>
      <bottom style="medium">
        <color indexed="64"/>
      </bottom>
      <diagonal/>
    </border>
    <border>
      <left/>
      <right/>
      <top style="medium">
        <color rgb="FF223055"/>
      </top>
      <bottom style="medium">
        <color indexed="64"/>
      </bottom>
      <diagonal/>
    </border>
    <border>
      <left/>
      <right style="medium">
        <color indexed="64"/>
      </right>
      <top style="medium">
        <color rgb="FF2230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223055"/>
      </bottom>
      <diagonal/>
    </border>
    <border>
      <left/>
      <right/>
      <top style="medium">
        <color indexed="64"/>
      </top>
      <bottom style="medium">
        <color rgb="FF223055"/>
      </bottom>
      <diagonal/>
    </border>
    <border>
      <left/>
      <right style="medium">
        <color indexed="64"/>
      </right>
      <top style="medium">
        <color indexed="64"/>
      </top>
      <bottom style="medium">
        <color rgb="FF223055"/>
      </bottom>
      <diagonal/>
    </border>
    <border>
      <left style="medium">
        <color indexed="64"/>
      </left>
      <right/>
      <top/>
      <bottom style="medium">
        <color rgb="FF2230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223055"/>
      </left>
      <right/>
      <top style="medium">
        <color rgb="FF223055"/>
      </top>
      <bottom style="medium">
        <color rgb="FF223055"/>
      </bottom>
      <diagonal/>
    </border>
    <border>
      <left/>
      <right/>
      <top style="medium">
        <color rgb="FF223055"/>
      </top>
      <bottom style="medium">
        <color rgb="FF223055"/>
      </bottom>
      <diagonal/>
    </border>
    <border>
      <left/>
      <right style="medium">
        <color rgb="FF223055"/>
      </right>
      <top style="medium">
        <color rgb="FF223055"/>
      </top>
      <bottom style="medium">
        <color rgb="FF2230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223055"/>
      </top>
      <bottom/>
      <diagonal/>
    </border>
    <border>
      <left/>
      <right style="medium">
        <color indexed="64"/>
      </right>
      <top/>
      <bottom style="medium">
        <color rgb="FF22305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 tint="-0.14999847407452621"/>
      </left>
      <right/>
      <top style="medium">
        <color rgb="FF223055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/>
      <right style="medium">
        <color rgb="FF223055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4.9989318521683403E-2"/>
      </left>
      <right style="medium">
        <color rgb="FF223055"/>
      </right>
      <top style="medium">
        <color rgb="FF223055"/>
      </top>
      <bottom style="thin">
        <color theme="0" tint="-4.9989318521683403E-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223055"/>
      </bottom>
      <diagonal/>
    </border>
    <border>
      <left style="thin">
        <color theme="0" tint="-4.9989318521683403E-2"/>
      </left>
      <right style="medium">
        <color rgb="FF223055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223055"/>
      </right>
      <top style="thin">
        <color theme="0" tint="-4.9989318521683403E-2"/>
      </top>
      <bottom style="medium">
        <color rgb="FF223055"/>
      </bottom>
      <diagonal/>
    </border>
    <border>
      <left style="medium">
        <color indexed="64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medium">
        <color indexed="64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 style="medium">
        <color indexed="64"/>
      </bottom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/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/>
      <diagonal/>
    </border>
    <border>
      <left/>
      <right/>
      <top style="thin">
        <color rgb="FF223055"/>
      </top>
      <bottom style="medium">
        <color rgb="FF223055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rgb="FF2230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000000"/>
      </bottom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8">
    <xf numFmtId="0" fontId="0" fillId="0" borderId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>
      <alignment vertical="center"/>
    </xf>
    <xf numFmtId="0" fontId="9" fillId="0" borderId="0">
      <alignment vertical="center"/>
    </xf>
    <xf numFmtId="0" fontId="24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4" fillId="0" borderId="0"/>
    <xf numFmtId="0" fontId="35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0" fontId="34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34" fillId="0" borderId="0"/>
    <xf numFmtId="41" fontId="2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/>
    <xf numFmtId="0" fontId="36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47" fillId="0" borderId="0"/>
    <xf numFmtId="0" fontId="24" fillId="0" borderId="0"/>
    <xf numFmtId="0" fontId="54" fillId="0" borderId="0"/>
  </cellStyleXfs>
  <cellXfs count="95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6" fillId="5" borderId="3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76" fontId="4" fillId="0" borderId="42" xfId="0" applyNumberFormat="1" applyFont="1" applyBorder="1" applyAlignment="1">
      <alignment vertical="center"/>
    </xf>
    <xf numFmtId="176" fontId="4" fillId="0" borderId="44" xfId="0" applyNumberFormat="1" applyFont="1" applyBorder="1" applyAlignment="1">
      <alignment vertical="center"/>
    </xf>
    <xf numFmtId="176" fontId="4" fillId="0" borderId="45" xfId="0" applyNumberFormat="1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176" fontId="10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176" fontId="11" fillId="0" borderId="59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vertical="center"/>
    </xf>
    <xf numFmtId="176" fontId="11" fillId="0" borderId="6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76" fontId="14" fillId="0" borderId="0" xfId="0" applyNumberFormat="1" applyFont="1" applyAlignment="1">
      <alignment vertical="center"/>
    </xf>
    <xf numFmtId="176" fontId="6" fillId="5" borderId="52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176" fontId="5" fillId="4" borderId="53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76" fontId="5" fillId="2" borderId="53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76" fontId="5" fillId="3" borderId="53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6" fontId="4" fillId="0" borderId="53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41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4" fillId="4" borderId="44" xfId="0" applyFont="1" applyFill="1" applyBorder="1" applyAlignment="1">
      <alignment horizontal="center" vertical="center"/>
    </xf>
    <xf numFmtId="176" fontId="5" fillId="4" borderId="54" xfId="0" applyNumberFormat="1" applyFont="1" applyFill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23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176" fontId="4" fillId="0" borderId="25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vertical="center"/>
    </xf>
    <xf numFmtId="10" fontId="4" fillId="0" borderId="10" xfId="2" applyNumberFormat="1" applyFont="1" applyBorder="1" applyAlignment="1">
      <alignment vertical="center"/>
    </xf>
    <xf numFmtId="0" fontId="17" fillId="13" borderId="0" xfId="0" applyFont="1" applyFill="1" applyAlignment="1">
      <alignment horizontal="center" vertical="center" wrapText="1"/>
    </xf>
    <xf numFmtId="0" fontId="18" fillId="0" borderId="0" xfId="0" applyFont="1"/>
    <xf numFmtId="0" fontId="18" fillId="14" borderId="86" xfId="0" applyFont="1" applyFill="1" applyBorder="1" applyAlignment="1">
      <alignment vertical="center"/>
    </xf>
    <xf numFmtId="179" fontId="18" fillId="14" borderId="86" xfId="0" applyNumberFormat="1" applyFont="1" applyFill="1" applyBorder="1" applyAlignment="1">
      <alignment vertical="center"/>
    </xf>
    <xf numFmtId="41" fontId="18" fillId="0" borderId="0" xfId="1" applyFont="1"/>
    <xf numFmtId="0" fontId="18" fillId="11" borderId="0" xfId="0" applyFont="1" applyFill="1"/>
    <xf numFmtId="41" fontId="18" fillId="11" borderId="0" xfId="1" applyFont="1" applyFill="1"/>
    <xf numFmtId="0" fontId="18" fillId="15" borderId="0" xfId="0" applyFont="1" applyFill="1"/>
    <xf numFmtId="41" fontId="18" fillId="15" borderId="0" xfId="1" applyFont="1" applyFill="1"/>
    <xf numFmtId="14" fontId="6" fillId="7" borderId="11" xfId="0" applyNumberFormat="1" applyFont="1" applyFill="1" applyBorder="1" applyAlignment="1">
      <alignment horizontal="center" vertical="center"/>
    </xf>
    <xf numFmtId="14" fontId="6" fillId="7" borderId="12" xfId="0" applyNumberFormat="1" applyFont="1" applyFill="1" applyBorder="1" applyAlignment="1">
      <alignment horizontal="center" vertical="center"/>
    </xf>
    <xf numFmtId="14" fontId="6" fillId="7" borderId="13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0" fontId="4" fillId="8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6" fontId="4" fillId="0" borderId="18" xfId="0" applyNumberFormat="1" applyFont="1" applyBorder="1" applyAlignment="1">
      <alignment vertical="center"/>
    </xf>
    <xf numFmtId="14" fontId="6" fillId="7" borderId="19" xfId="0" applyNumberFormat="1" applyFont="1" applyFill="1" applyBorder="1" applyAlignment="1">
      <alignment horizontal="center" vertical="center"/>
    </xf>
    <xf numFmtId="14" fontId="6" fillId="7" borderId="20" xfId="0" applyNumberFormat="1" applyFont="1" applyFill="1" applyBorder="1" applyAlignment="1">
      <alignment horizontal="center" vertical="center"/>
    </xf>
    <xf numFmtId="14" fontId="6" fillId="7" borderId="21" xfId="0" applyNumberFormat="1" applyFont="1" applyFill="1" applyBorder="1" applyAlignment="1">
      <alignment horizontal="center" vertical="center"/>
    </xf>
    <xf numFmtId="14" fontId="6" fillId="7" borderId="22" xfId="0" applyNumberFormat="1" applyFont="1" applyFill="1" applyBorder="1" applyAlignment="1">
      <alignment horizontal="center" vertical="center"/>
    </xf>
    <xf numFmtId="177" fontId="6" fillId="7" borderId="1" xfId="1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23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10" fontId="4" fillId="0" borderId="1" xfId="2" applyNumberFormat="1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176" fontId="19" fillId="5" borderId="19" xfId="0" applyNumberFormat="1" applyFont="1" applyFill="1" applyBorder="1" applyAlignment="1">
      <alignment horizontal="center" vertical="center"/>
    </xf>
    <xf numFmtId="176" fontId="19" fillId="5" borderId="20" xfId="0" applyNumberFormat="1" applyFont="1" applyFill="1" applyBorder="1" applyAlignment="1">
      <alignment horizontal="center" vertical="center"/>
    </xf>
    <xf numFmtId="176" fontId="19" fillId="5" borderId="21" xfId="0" applyNumberFormat="1" applyFont="1" applyFill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vertical="center"/>
    </xf>
    <xf numFmtId="176" fontId="4" fillId="0" borderId="33" xfId="0" applyNumberFormat="1" applyFont="1" applyBorder="1" applyAlignment="1">
      <alignment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vertical="center"/>
    </xf>
    <xf numFmtId="176" fontId="4" fillId="3" borderId="35" xfId="0" applyNumberFormat="1" applyFont="1" applyFill="1" applyBorder="1" applyAlignment="1">
      <alignment vertical="center"/>
    </xf>
    <xf numFmtId="176" fontId="4" fillId="3" borderId="36" xfId="0" applyNumberFormat="1" applyFont="1" applyFill="1" applyBorder="1" applyAlignment="1">
      <alignment vertical="center"/>
    </xf>
    <xf numFmtId="176" fontId="4" fillId="3" borderId="37" xfId="0" applyNumberFormat="1" applyFont="1" applyFill="1" applyBorder="1" applyAlignment="1">
      <alignment vertical="center"/>
    </xf>
    <xf numFmtId="176" fontId="19" fillId="5" borderId="30" xfId="0" applyNumberFormat="1" applyFont="1" applyFill="1" applyBorder="1" applyAlignment="1">
      <alignment horizontal="center" vertical="center"/>
    </xf>
    <xf numFmtId="176" fontId="19" fillId="5" borderId="29" xfId="0" applyNumberFormat="1" applyFont="1" applyFill="1" applyBorder="1" applyAlignment="1">
      <alignment horizontal="center" vertical="center"/>
    </xf>
    <xf numFmtId="178" fontId="19" fillId="5" borderId="29" xfId="0" applyNumberFormat="1" applyFont="1" applyFill="1" applyBorder="1" applyAlignment="1">
      <alignment horizontal="center" vertical="center"/>
    </xf>
    <xf numFmtId="176" fontId="19" fillId="5" borderId="31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vertical="center"/>
    </xf>
    <xf numFmtId="176" fontId="5" fillId="3" borderId="25" xfId="0" applyNumberFormat="1" applyFont="1" applyFill="1" applyBorder="1" applyAlignment="1">
      <alignment vertical="center"/>
    </xf>
    <xf numFmtId="176" fontId="5" fillId="3" borderId="25" xfId="0" applyNumberFormat="1" applyFont="1" applyFill="1" applyBorder="1" applyAlignment="1">
      <alignment horizontal="center" vertical="center"/>
    </xf>
    <xf numFmtId="176" fontId="5" fillId="3" borderId="26" xfId="0" applyNumberFormat="1" applyFont="1" applyFill="1" applyBorder="1" applyAlignment="1">
      <alignment vertical="center"/>
    </xf>
    <xf numFmtId="178" fontId="5" fillId="0" borderId="0" xfId="0" applyNumberFormat="1" applyFont="1" applyAlignment="1">
      <alignment vertical="center"/>
    </xf>
    <xf numFmtId="180" fontId="4" fillId="0" borderId="0" xfId="1" applyNumberFormat="1" applyFont="1" applyAlignment="1">
      <alignment vertical="center"/>
    </xf>
    <xf numFmtId="176" fontId="12" fillId="0" borderId="0" xfId="0" applyNumberFormat="1" applyFont="1" applyAlignment="1">
      <alignment horizontal="center" vertical="center"/>
    </xf>
    <xf numFmtId="176" fontId="11" fillId="0" borderId="42" xfId="0" applyNumberFormat="1" applyFont="1" applyBorder="1" applyAlignment="1">
      <alignment vertical="center"/>
    </xf>
    <xf numFmtId="176" fontId="11" fillId="0" borderId="4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11" fillId="0" borderId="45" xfId="0" applyNumberFormat="1" applyFont="1" applyBorder="1" applyAlignment="1">
      <alignment vertical="center"/>
    </xf>
    <xf numFmtId="176" fontId="11" fillId="0" borderId="63" xfId="0" applyNumberFormat="1" applyFont="1" applyBorder="1" applyAlignment="1">
      <alignment vertical="center"/>
    </xf>
    <xf numFmtId="176" fontId="11" fillId="0" borderId="0" xfId="0" applyNumberFormat="1" applyFont="1" applyFill="1" applyBorder="1" applyAlignment="1">
      <alignment vertical="center"/>
    </xf>
    <xf numFmtId="176" fontId="11" fillId="0" borderId="43" xfId="0" applyNumberFormat="1" applyFont="1" applyBorder="1" applyAlignment="1">
      <alignment vertical="center"/>
    </xf>
    <xf numFmtId="176" fontId="11" fillId="0" borderId="44" xfId="0" applyNumberFormat="1" applyFont="1" applyBorder="1" applyAlignment="1">
      <alignment vertical="center"/>
    </xf>
    <xf numFmtId="176" fontId="12" fillId="0" borderId="73" xfId="0" applyNumberFormat="1" applyFont="1" applyBorder="1" applyAlignment="1">
      <alignment vertical="center"/>
    </xf>
    <xf numFmtId="176" fontId="12" fillId="0" borderId="75" xfId="0" applyNumberFormat="1" applyFont="1" applyBorder="1" applyAlignment="1">
      <alignment vertical="center"/>
    </xf>
    <xf numFmtId="176" fontId="11" fillId="0" borderId="61" xfId="0" applyNumberFormat="1" applyFont="1" applyBorder="1" applyAlignment="1">
      <alignment vertical="center"/>
    </xf>
    <xf numFmtId="176" fontId="11" fillId="0" borderId="38" xfId="0" applyNumberFormat="1" applyFont="1" applyBorder="1" applyAlignment="1">
      <alignment vertical="center"/>
    </xf>
    <xf numFmtId="176" fontId="11" fillId="0" borderId="39" xfId="0" applyNumberFormat="1" applyFont="1" applyBorder="1" applyAlignment="1">
      <alignment vertical="center"/>
    </xf>
    <xf numFmtId="176" fontId="11" fillId="0" borderId="40" xfId="0" applyNumberFormat="1" applyFont="1" applyBorder="1" applyAlignment="1">
      <alignment vertical="center"/>
    </xf>
    <xf numFmtId="182" fontId="11" fillId="0" borderId="0" xfId="0" applyNumberFormat="1" applyFont="1" applyAlignment="1">
      <alignment vertical="center"/>
    </xf>
    <xf numFmtId="176" fontId="13" fillId="5" borderId="38" xfId="0" applyNumberFormat="1" applyFont="1" applyFill="1" applyBorder="1" applyAlignment="1">
      <alignment vertical="center"/>
    </xf>
    <xf numFmtId="176" fontId="13" fillId="5" borderId="39" xfId="0" applyNumberFormat="1" applyFont="1" applyFill="1" applyBorder="1" applyAlignment="1">
      <alignment vertical="center"/>
    </xf>
    <xf numFmtId="176" fontId="13" fillId="5" borderId="40" xfId="0" applyNumberFormat="1" applyFont="1" applyFill="1" applyBorder="1" applyAlignment="1">
      <alignment vertical="center"/>
    </xf>
    <xf numFmtId="176" fontId="11" fillId="0" borderId="102" xfId="0" applyNumberFormat="1" applyFont="1" applyBorder="1" applyAlignment="1">
      <alignment vertical="center"/>
    </xf>
    <xf numFmtId="176" fontId="12" fillId="0" borderId="102" xfId="0" applyNumberFormat="1" applyFont="1" applyBorder="1" applyAlignment="1">
      <alignment vertical="center"/>
    </xf>
    <xf numFmtId="0" fontId="22" fillId="5" borderId="100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101" xfId="0" applyFont="1" applyFill="1" applyBorder="1" applyAlignment="1">
      <alignment horizontal="center" vertical="center" wrapText="1"/>
    </xf>
    <xf numFmtId="176" fontId="23" fillId="0" borderId="20" xfId="0" applyNumberFormat="1" applyFont="1" applyBorder="1" applyAlignment="1">
      <alignment horizontal="center" vertical="center" wrapText="1"/>
    </xf>
    <xf numFmtId="176" fontId="23" fillId="0" borderId="20" xfId="0" applyNumberFormat="1" applyFont="1" applyBorder="1" applyAlignment="1">
      <alignment horizontal="right" vertical="center" wrapText="1"/>
    </xf>
    <xf numFmtId="176" fontId="23" fillId="0" borderId="21" xfId="0" applyNumberFormat="1" applyFont="1" applyBorder="1" applyAlignment="1">
      <alignment horizontal="right" vertical="center" wrapText="1"/>
    </xf>
    <xf numFmtId="176" fontId="23" fillId="0" borderId="33" xfId="0" applyNumberFormat="1" applyFont="1" applyBorder="1" applyAlignment="1">
      <alignment horizontal="right" vertical="center" wrapText="1"/>
    </xf>
    <xf numFmtId="176" fontId="23" fillId="0" borderId="34" xfId="0" applyNumberFormat="1" applyFont="1" applyBorder="1" applyAlignment="1">
      <alignment horizontal="right" vertical="center" wrapText="1"/>
    </xf>
    <xf numFmtId="176" fontId="21" fillId="0" borderId="36" xfId="0" applyNumberFormat="1" applyFont="1" applyBorder="1" applyAlignment="1">
      <alignment horizontal="right" vertical="center" wrapText="1"/>
    </xf>
    <xf numFmtId="176" fontId="21" fillId="0" borderId="37" xfId="0" applyNumberFormat="1" applyFont="1" applyBorder="1" applyAlignment="1">
      <alignment horizontal="right" vertical="center" wrapText="1"/>
    </xf>
    <xf numFmtId="176" fontId="23" fillId="0" borderId="29" xfId="0" applyNumberFormat="1" applyFont="1" applyBorder="1" applyAlignment="1">
      <alignment horizontal="center" vertical="center" wrapText="1"/>
    </xf>
    <xf numFmtId="176" fontId="23" fillId="0" borderId="29" xfId="0" applyNumberFormat="1" applyFont="1" applyBorder="1" applyAlignment="1">
      <alignment horizontal="right" vertical="center" wrapText="1"/>
    </xf>
    <xf numFmtId="176" fontId="23" fillId="0" borderId="31" xfId="0" applyNumberFormat="1" applyFont="1" applyBorder="1" applyAlignment="1">
      <alignment horizontal="right" vertical="center" wrapText="1"/>
    </xf>
    <xf numFmtId="176" fontId="23" fillId="0" borderId="36" xfId="0" applyNumberFormat="1" applyFont="1" applyBorder="1" applyAlignment="1">
      <alignment horizontal="right" vertical="center" wrapText="1"/>
    </xf>
    <xf numFmtId="176" fontId="23" fillId="0" borderId="37" xfId="0" applyNumberFormat="1" applyFont="1" applyBorder="1" applyAlignment="1">
      <alignment horizontal="right" vertical="center" wrapText="1"/>
    </xf>
    <xf numFmtId="176" fontId="13" fillId="5" borderId="73" xfId="0" applyNumberFormat="1" applyFont="1" applyFill="1" applyBorder="1" applyAlignment="1">
      <alignment horizontal="center" vertical="center"/>
    </xf>
    <xf numFmtId="176" fontId="13" fillId="5" borderId="74" xfId="0" applyNumberFormat="1" applyFont="1" applyFill="1" applyBorder="1" applyAlignment="1">
      <alignment horizontal="center" vertical="center"/>
    </xf>
    <xf numFmtId="176" fontId="13" fillId="5" borderId="75" xfId="0" applyNumberFormat="1" applyFont="1" applyFill="1" applyBorder="1" applyAlignment="1">
      <alignment horizontal="center" vertical="center"/>
    </xf>
    <xf numFmtId="178" fontId="11" fillId="0" borderId="0" xfId="0" applyNumberFormat="1" applyFont="1" applyAlignment="1">
      <alignment vertical="center"/>
    </xf>
    <xf numFmtId="176" fontId="23" fillId="0" borderId="33" xfId="0" applyNumberFormat="1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4" fillId="21" borderId="0" xfId="0" applyFont="1" applyFill="1" applyAlignment="1">
      <alignment vertical="center"/>
    </xf>
    <xf numFmtId="0" fontId="5" fillId="3" borderId="107" xfId="0" applyFont="1" applyFill="1" applyBorder="1" applyAlignment="1">
      <alignment vertical="center"/>
    </xf>
    <xf numFmtId="14" fontId="5" fillId="3" borderId="108" xfId="0" applyNumberFormat="1" applyFont="1" applyFill="1" applyBorder="1" applyAlignment="1">
      <alignment horizontal="center" vertical="center"/>
    </xf>
    <xf numFmtId="0" fontId="5" fillId="3" borderId="109" xfId="0" applyFont="1" applyFill="1" applyBorder="1" applyAlignment="1">
      <alignment vertical="center"/>
    </xf>
    <xf numFmtId="0" fontId="5" fillId="3" borderId="110" xfId="0" applyFont="1" applyFill="1" applyBorder="1" applyAlignment="1">
      <alignment horizontal="center" vertical="center"/>
    </xf>
    <xf numFmtId="0" fontId="5" fillId="3" borderId="111" xfId="0" applyFont="1" applyFill="1" applyBorder="1" applyAlignment="1">
      <alignment vertical="center"/>
    </xf>
    <xf numFmtId="0" fontId="5" fillId="3" borderId="112" xfId="0" applyFont="1" applyFill="1" applyBorder="1" applyAlignment="1">
      <alignment horizontal="center" vertical="center"/>
    </xf>
    <xf numFmtId="176" fontId="5" fillId="0" borderId="0" xfId="0" quotePrefix="1" applyNumberFormat="1" applyFont="1" applyAlignmen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26" fillId="6" borderId="22" xfId="0" applyFont="1" applyFill="1" applyBorder="1" applyAlignment="1">
      <alignment vertical="center"/>
    </xf>
    <xf numFmtId="0" fontId="26" fillId="6" borderId="1" xfId="0" applyFont="1" applyFill="1" applyBorder="1" applyAlignment="1">
      <alignment vertical="center"/>
    </xf>
    <xf numFmtId="176" fontId="26" fillId="6" borderId="1" xfId="0" applyNumberFormat="1" applyFont="1" applyFill="1" applyBorder="1" applyAlignment="1">
      <alignment horizontal="right" vertical="center"/>
    </xf>
    <xf numFmtId="176" fontId="26" fillId="6" borderId="23" xfId="0" applyNumberFormat="1" applyFont="1" applyFill="1" applyBorder="1" applyAlignment="1">
      <alignment horizontal="right" vertical="center"/>
    </xf>
    <xf numFmtId="0" fontId="26" fillId="3" borderId="22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76" fontId="26" fillId="3" borderId="1" xfId="0" applyNumberFormat="1" applyFont="1" applyFill="1" applyBorder="1" applyAlignment="1">
      <alignment horizontal="right" vertical="center"/>
    </xf>
    <xf numFmtId="176" fontId="26" fillId="3" borderId="23" xfId="0" applyNumberFormat="1" applyFont="1" applyFill="1" applyBorder="1" applyAlignment="1">
      <alignment horizontal="right" vertical="center"/>
    </xf>
    <xf numFmtId="0" fontId="26" fillId="12" borderId="22" xfId="0" applyFont="1" applyFill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176" fontId="26" fillId="12" borderId="1" xfId="0" applyNumberFormat="1" applyFont="1" applyFill="1" applyBorder="1" applyAlignment="1">
      <alignment horizontal="right" vertical="center"/>
    </xf>
    <xf numFmtId="176" fontId="26" fillId="12" borderId="23" xfId="0" applyNumberFormat="1" applyFont="1" applyFill="1" applyBorder="1" applyAlignment="1">
      <alignment horizontal="right" vertical="center"/>
    </xf>
    <xf numFmtId="0" fontId="27" fillId="0" borderId="22" xfId="0" applyFont="1" applyBorder="1" applyAlignment="1">
      <alignment horizontal="left" vertical="center" indent="1"/>
    </xf>
    <xf numFmtId="0" fontId="27" fillId="0" borderId="1" xfId="0" applyFont="1" applyBorder="1" applyAlignment="1">
      <alignment vertical="center"/>
    </xf>
    <xf numFmtId="176" fontId="27" fillId="0" borderId="1" xfId="0" applyNumberFormat="1" applyFont="1" applyBorder="1" applyAlignment="1">
      <alignment horizontal="right" vertical="center"/>
    </xf>
    <xf numFmtId="176" fontId="27" fillId="0" borderId="23" xfId="0" applyNumberFormat="1" applyFont="1" applyBorder="1" applyAlignment="1">
      <alignment horizontal="right" vertical="center"/>
    </xf>
    <xf numFmtId="0" fontId="26" fillId="6" borderId="24" xfId="0" applyFont="1" applyFill="1" applyBorder="1" applyAlignment="1">
      <alignment vertical="center"/>
    </xf>
    <xf numFmtId="0" fontId="26" fillId="6" borderId="25" xfId="0" applyFont="1" applyFill="1" applyBorder="1" applyAlignment="1">
      <alignment vertical="center"/>
    </xf>
    <xf numFmtId="176" fontId="26" fillId="6" borderId="25" xfId="0" applyNumberFormat="1" applyFont="1" applyFill="1" applyBorder="1" applyAlignment="1">
      <alignment horizontal="right" vertical="center"/>
    </xf>
    <xf numFmtId="176" fontId="26" fillId="6" borderId="26" xfId="0" applyNumberFormat="1" applyFont="1" applyFill="1" applyBorder="1" applyAlignment="1">
      <alignment horizontal="right" vertical="center"/>
    </xf>
    <xf numFmtId="176" fontId="14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6" fillId="5" borderId="92" xfId="0" applyNumberFormat="1" applyFont="1" applyFill="1" applyBorder="1" applyAlignment="1">
      <alignment horizontal="center" vertical="center" wrapText="1"/>
    </xf>
    <xf numFmtId="176" fontId="6" fillId="5" borderId="93" xfId="0" applyNumberFormat="1" applyFont="1" applyFill="1" applyBorder="1" applyAlignment="1">
      <alignment horizontal="center" vertical="center" wrapText="1"/>
    </xf>
    <xf numFmtId="176" fontId="6" fillId="5" borderId="94" xfId="0" applyNumberFormat="1" applyFont="1" applyFill="1" applyBorder="1" applyAlignment="1">
      <alignment horizontal="center" vertical="center" wrapText="1"/>
    </xf>
    <xf numFmtId="176" fontId="26" fillId="2" borderId="95" xfId="0" applyNumberFormat="1" applyFont="1" applyFill="1" applyBorder="1" applyAlignment="1">
      <alignment vertical="center" wrapText="1"/>
    </xf>
    <xf numFmtId="176" fontId="26" fillId="2" borderId="81" xfId="0" applyNumberFormat="1" applyFont="1" applyFill="1" applyBorder="1" applyAlignment="1">
      <alignment vertical="center" wrapText="1"/>
    </xf>
    <xf numFmtId="176" fontId="26" fillId="2" borderId="81" xfId="0" applyNumberFormat="1" applyFont="1" applyFill="1" applyBorder="1" applyAlignment="1">
      <alignment horizontal="right" vertical="center" wrapText="1"/>
    </xf>
    <xf numFmtId="176" fontId="26" fillId="2" borderId="96" xfId="0" applyNumberFormat="1" applyFont="1" applyFill="1" applyBorder="1" applyAlignment="1">
      <alignment horizontal="right" vertical="center" wrapText="1"/>
    </xf>
    <xf numFmtId="176" fontId="26" fillId="6" borderId="95" xfId="0" applyNumberFormat="1" applyFont="1" applyFill="1" applyBorder="1" applyAlignment="1">
      <alignment vertical="center" wrapText="1"/>
    </xf>
    <xf numFmtId="176" fontId="26" fillId="6" borderId="81" xfId="0" applyNumberFormat="1" applyFont="1" applyFill="1" applyBorder="1" applyAlignment="1">
      <alignment vertical="center" wrapText="1"/>
    </xf>
    <xf numFmtId="176" fontId="26" fillId="6" borderId="81" xfId="0" applyNumberFormat="1" applyFont="1" applyFill="1" applyBorder="1" applyAlignment="1">
      <alignment horizontal="right" vertical="center" wrapText="1"/>
    </xf>
    <xf numFmtId="176" fontId="26" fillId="6" borderId="96" xfId="0" applyNumberFormat="1" applyFont="1" applyFill="1" applyBorder="1" applyAlignment="1">
      <alignment horizontal="right" vertical="center" wrapText="1"/>
    </xf>
    <xf numFmtId="176" fontId="26" fillId="3" borderId="95" xfId="0" applyNumberFormat="1" applyFont="1" applyFill="1" applyBorder="1" applyAlignment="1">
      <alignment vertical="center" wrapText="1"/>
    </xf>
    <xf numFmtId="176" fontId="26" fillId="3" borderId="81" xfId="0" applyNumberFormat="1" applyFont="1" applyFill="1" applyBorder="1" applyAlignment="1">
      <alignment vertical="center" wrapText="1"/>
    </xf>
    <xf numFmtId="176" fontId="26" fillId="3" borderId="81" xfId="0" applyNumberFormat="1" applyFont="1" applyFill="1" applyBorder="1" applyAlignment="1">
      <alignment horizontal="right" vertical="center" wrapText="1"/>
    </xf>
    <xf numFmtId="176" fontId="5" fillId="3" borderId="96" xfId="0" applyNumberFormat="1" applyFont="1" applyFill="1" applyBorder="1" applyAlignment="1">
      <alignment vertical="center"/>
    </xf>
    <xf numFmtId="176" fontId="27" fillId="0" borderId="95" xfId="0" applyNumberFormat="1" applyFont="1" applyBorder="1" applyAlignment="1">
      <alignment vertical="center" wrapText="1"/>
    </xf>
    <xf numFmtId="176" fontId="27" fillId="0" borderId="81" xfId="0" applyNumberFormat="1" applyFont="1" applyBorder="1" applyAlignment="1">
      <alignment vertical="center" wrapText="1"/>
    </xf>
    <xf numFmtId="176" fontId="27" fillId="0" borderId="81" xfId="0" applyNumberFormat="1" applyFont="1" applyBorder="1" applyAlignment="1">
      <alignment horizontal="right" vertical="center" wrapText="1"/>
    </xf>
    <xf numFmtId="176" fontId="4" fillId="0" borderId="96" xfId="0" applyNumberFormat="1" applyFont="1" applyBorder="1" applyAlignment="1">
      <alignment vertical="center"/>
    </xf>
    <xf numFmtId="176" fontId="26" fillId="3" borderId="96" xfId="0" applyNumberFormat="1" applyFont="1" applyFill="1" applyBorder="1" applyAlignment="1">
      <alignment horizontal="right" vertical="center" wrapText="1"/>
    </xf>
    <xf numFmtId="176" fontId="27" fillId="6" borderId="81" xfId="0" applyNumberFormat="1" applyFont="1" applyFill="1" applyBorder="1" applyAlignment="1">
      <alignment horizontal="right" vertical="center" wrapText="1"/>
    </xf>
    <xf numFmtId="176" fontId="4" fillId="6" borderId="9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6" fontId="5" fillId="2" borderId="96" xfId="0" applyNumberFormat="1" applyFont="1" applyFill="1" applyBorder="1" applyAlignment="1">
      <alignment vertical="center"/>
    </xf>
    <xf numFmtId="176" fontId="26" fillId="2" borderId="81" xfId="0" applyNumberFormat="1" applyFont="1" applyFill="1" applyBorder="1" applyAlignment="1">
      <alignment vertical="center"/>
    </xf>
    <xf numFmtId="176" fontId="26" fillId="2" borderId="97" xfId="0" applyNumberFormat="1" applyFont="1" applyFill="1" applyBorder="1" applyAlignment="1">
      <alignment vertical="center" wrapText="1"/>
    </xf>
    <xf numFmtId="176" fontId="26" fillId="2" borderId="98" xfId="0" applyNumberFormat="1" applyFont="1" applyFill="1" applyBorder="1" applyAlignment="1">
      <alignment vertical="center" wrapText="1"/>
    </xf>
    <xf numFmtId="176" fontId="26" fillId="2" borderId="98" xfId="0" applyNumberFormat="1" applyFont="1" applyFill="1" applyBorder="1" applyAlignment="1">
      <alignment horizontal="right" vertical="center" wrapText="1"/>
    </xf>
    <xf numFmtId="176" fontId="26" fillId="2" borderId="99" xfId="0" applyNumberFormat="1" applyFont="1" applyFill="1" applyBorder="1" applyAlignment="1">
      <alignment horizontal="right" vertical="center" wrapText="1"/>
    </xf>
    <xf numFmtId="0" fontId="14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" vertical="center"/>
    </xf>
    <xf numFmtId="0" fontId="6" fillId="5" borderId="56" xfId="0" applyNumberFormat="1" applyFont="1" applyFill="1" applyBorder="1" applyAlignment="1">
      <alignment horizontal="center" vertical="center"/>
    </xf>
    <xf numFmtId="176" fontId="6" fillId="5" borderId="57" xfId="0" applyNumberFormat="1" applyFont="1" applyFill="1" applyBorder="1" applyAlignment="1">
      <alignment horizontal="center" vertical="center"/>
    </xf>
    <xf numFmtId="176" fontId="6" fillId="5" borderId="58" xfId="0" applyNumberFormat="1" applyFont="1" applyFill="1" applyBorder="1" applyAlignment="1">
      <alignment horizontal="center" vertical="center"/>
    </xf>
    <xf numFmtId="176" fontId="15" fillId="0" borderId="71" xfId="0" applyNumberFormat="1" applyFont="1" applyBorder="1" applyAlignment="1">
      <alignment horizontal="center" vertical="center"/>
    </xf>
    <xf numFmtId="176" fontId="15" fillId="0" borderId="88" xfId="0" applyNumberFormat="1" applyFont="1" applyBorder="1" applyAlignment="1">
      <alignment horizontal="center" vertical="center"/>
    </xf>
    <xf numFmtId="176" fontId="5" fillId="0" borderId="72" xfId="0" applyNumberFormat="1" applyFont="1" applyBorder="1" applyAlignment="1">
      <alignment horizontal="center" vertical="center"/>
    </xf>
    <xf numFmtId="0" fontId="16" fillId="6" borderId="59" xfId="0" applyNumberFormat="1" applyFont="1" applyFill="1" applyBorder="1" applyAlignment="1">
      <alignment horizontal="center" vertical="center"/>
    </xf>
    <xf numFmtId="176" fontId="16" fillId="6" borderId="0" xfId="0" applyNumberFormat="1" applyFont="1" applyFill="1" applyBorder="1" applyAlignment="1">
      <alignment vertical="center"/>
    </xf>
    <xf numFmtId="176" fontId="16" fillId="6" borderId="60" xfId="0" applyNumberFormat="1" applyFont="1" applyFill="1" applyBorder="1" applyAlignment="1">
      <alignment vertical="center"/>
    </xf>
    <xf numFmtId="176" fontId="15" fillId="0" borderId="59" xfId="0" applyNumberFormat="1" applyFont="1" applyBorder="1" applyAlignment="1">
      <alignment vertical="center"/>
    </xf>
    <xf numFmtId="176" fontId="16" fillId="0" borderId="0" xfId="0" applyNumberFormat="1" applyFont="1" applyBorder="1" applyAlignment="1">
      <alignment vertical="center"/>
    </xf>
    <xf numFmtId="176" fontId="4" fillId="0" borderId="60" xfId="0" applyNumberFormat="1" applyFont="1" applyBorder="1" applyAlignment="1">
      <alignment horizontal="center" vertical="center"/>
    </xf>
    <xf numFmtId="0" fontId="16" fillId="0" borderId="59" xfId="0" applyNumberFormat="1" applyFont="1" applyBorder="1" applyAlignment="1">
      <alignment horizontal="center" vertical="center"/>
    </xf>
    <xf numFmtId="176" fontId="16" fillId="0" borderId="60" xfId="0" applyNumberFormat="1" applyFont="1" applyBorder="1" applyAlignment="1">
      <alignment vertical="center"/>
    </xf>
    <xf numFmtId="0" fontId="16" fillId="0" borderId="59" xfId="0" applyNumberFormat="1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vertical="center"/>
    </xf>
    <xf numFmtId="176" fontId="16" fillId="0" borderId="60" xfId="0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15" fillId="0" borderId="59" xfId="0" applyNumberFormat="1" applyFont="1" applyFill="1" applyBorder="1" applyAlignment="1">
      <alignment vertical="center"/>
    </xf>
    <xf numFmtId="176" fontId="4" fillId="0" borderId="60" xfId="0" applyNumberFormat="1" applyFont="1" applyFill="1" applyBorder="1" applyAlignment="1">
      <alignment horizontal="center" vertical="center"/>
    </xf>
    <xf numFmtId="0" fontId="16" fillId="17" borderId="59" xfId="0" applyNumberFormat="1" applyFont="1" applyFill="1" applyBorder="1" applyAlignment="1">
      <alignment horizontal="center" vertical="center"/>
    </xf>
    <xf numFmtId="176" fontId="16" fillId="17" borderId="0" xfId="0" applyNumberFormat="1" applyFont="1" applyFill="1" applyBorder="1" applyAlignment="1">
      <alignment vertical="center"/>
    </xf>
    <xf numFmtId="176" fontId="16" fillId="17" borderId="60" xfId="0" applyNumberFormat="1" applyFont="1" applyFill="1" applyBorder="1" applyAlignment="1">
      <alignment vertical="center"/>
    </xf>
    <xf numFmtId="0" fontId="16" fillId="0" borderId="61" xfId="0" applyNumberFormat="1" applyFont="1" applyBorder="1" applyAlignment="1">
      <alignment horizontal="center" vertical="center"/>
    </xf>
    <xf numFmtId="176" fontId="16" fillId="0" borderId="62" xfId="0" applyNumberFormat="1" applyFont="1" applyBorder="1" applyAlignment="1">
      <alignment vertical="center"/>
    </xf>
    <xf numFmtId="176" fontId="16" fillId="0" borderId="63" xfId="0" applyNumberFormat="1" applyFont="1" applyBorder="1" applyAlignment="1">
      <alignment vertical="center"/>
    </xf>
    <xf numFmtId="176" fontId="15" fillId="0" borderId="61" xfId="0" applyNumberFormat="1" applyFont="1" applyBorder="1" applyAlignment="1">
      <alignment vertical="center"/>
    </xf>
    <xf numFmtId="176" fontId="4" fillId="0" borderId="63" xfId="0" applyNumberFormat="1" applyFont="1" applyBorder="1" applyAlignment="1">
      <alignment horizontal="center" vertical="center"/>
    </xf>
    <xf numFmtId="0" fontId="16" fillId="0" borderId="71" xfId="0" applyNumberFormat="1" applyFont="1" applyBorder="1" applyAlignment="1">
      <alignment horizontal="center" vertical="center"/>
    </xf>
    <xf numFmtId="176" fontId="16" fillId="0" borderId="88" xfId="0" applyNumberFormat="1" applyFont="1" applyBorder="1" applyAlignment="1">
      <alignment vertical="center"/>
    </xf>
    <xf numFmtId="176" fontId="16" fillId="0" borderId="72" xfId="0" applyNumberFormat="1" applyFont="1" applyBorder="1" applyAlignment="1">
      <alignment vertical="center"/>
    </xf>
    <xf numFmtId="176" fontId="16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76" fontId="6" fillId="5" borderId="49" xfId="0" applyNumberFormat="1" applyFont="1" applyFill="1" applyBorder="1" applyAlignment="1">
      <alignment horizontal="center" vertical="center"/>
    </xf>
    <xf numFmtId="176" fontId="26" fillId="23" borderId="48" xfId="0" applyNumberFormat="1" applyFont="1" applyFill="1" applyBorder="1" applyAlignment="1">
      <alignment vertical="center"/>
    </xf>
    <xf numFmtId="176" fontId="26" fillId="23" borderId="49" xfId="0" applyNumberFormat="1" applyFont="1" applyFill="1" applyBorder="1" applyAlignment="1">
      <alignment horizontal="right" vertical="center"/>
    </xf>
    <xf numFmtId="176" fontId="5" fillId="23" borderId="49" xfId="0" applyNumberFormat="1" applyFont="1" applyFill="1" applyBorder="1" applyAlignment="1">
      <alignment vertical="center"/>
    </xf>
    <xf numFmtId="176" fontId="5" fillId="23" borderId="90" xfId="0" applyNumberFormat="1" applyFont="1" applyFill="1" applyBorder="1" applyAlignment="1">
      <alignment vertical="center"/>
    </xf>
    <xf numFmtId="176" fontId="27" fillId="3" borderId="48" xfId="0" applyNumberFormat="1" applyFont="1" applyFill="1" applyBorder="1" applyAlignment="1">
      <alignment vertical="center"/>
    </xf>
    <xf numFmtId="176" fontId="27" fillId="3" borderId="49" xfId="0" applyNumberFormat="1" applyFont="1" applyFill="1" applyBorder="1" applyAlignment="1">
      <alignment horizontal="right" vertical="center"/>
    </xf>
    <xf numFmtId="176" fontId="4" fillId="3" borderId="49" xfId="0" applyNumberFormat="1" applyFont="1" applyFill="1" applyBorder="1" applyAlignment="1">
      <alignment vertical="center"/>
    </xf>
    <xf numFmtId="176" fontId="4" fillId="3" borderId="90" xfId="0" applyNumberFormat="1" applyFont="1" applyFill="1" applyBorder="1" applyAlignment="1">
      <alignment vertical="center"/>
    </xf>
    <xf numFmtId="176" fontId="27" fillId="0" borderId="48" xfId="0" applyNumberFormat="1" applyFont="1" applyBorder="1" applyAlignment="1">
      <alignment vertical="center"/>
    </xf>
    <xf numFmtId="176" fontId="27" fillId="0" borderId="49" xfId="0" applyNumberFormat="1" applyFont="1" applyBorder="1" applyAlignment="1">
      <alignment horizontal="right" vertical="center"/>
    </xf>
    <xf numFmtId="176" fontId="4" fillId="0" borderId="49" xfId="0" applyNumberFormat="1" applyFont="1" applyBorder="1" applyAlignment="1">
      <alignment vertical="center"/>
    </xf>
    <xf numFmtId="176" fontId="4" fillId="0" borderId="90" xfId="0" applyNumberFormat="1" applyFont="1" applyBorder="1" applyAlignment="1">
      <alignment vertical="center"/>
    </xf>
    <xf numFmtId="176" fontId="5" fillId="23" borderId="48" xfId="0" applyNumberFormat="1" applyFont="1" applyFill="1" applyBorder="1" applyAlignment="1">
      <alignment vertical="center"/>
    </xf>
    <xf numFmtId="176" fontId="27" fillId="3" borderId="90" xfId="0" applyNumberFormat="1" applyFont="1" applyFill="1" applyBorder="1" applyAlignment="1">
      <alignment horizontal="right" vertical="center"/>
    </xf>
    <xf numFmtId="176" fontId="4" fillId="0" borderId="48" xfId="0" applyNumberFormat="1" applyFont="1" applyBorder="1" applyAlignment="1">
      <alignment vertical="center"/>
    </xf>
    <xf numFmtId="176" fontId="5" fillId="23" borderId="50" xfId="0" applyNumberFormat="1" applyFont="1" applyFill="1" applyBorder="1" applyAlignment="1">
      <alignment vertical="center"/>
    </xf>
    <xf numFmtId="176" fontId="5" fillId="23" borderId="51" xfId="0" applyNumberFormat="1" applyFont="1" applyFill="1" applyBorder="1" applyAlignment="1">
      <alignment vertical="center"/>
    </xf>
    <xf numFmtId="176" fontId="5" fillId="23" borderId="91" xfId="0" applyNumberFormat="1" applyFont="1" applyFill="1" applyBorder="1" applyAlignment="1">
      <alignment vertical="center"/>
    </xf>
    <xf numFmtId="0" fontId="6" fillId="5" borderId="57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7" fillId="0" borderId="59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181" fontId="27" fillId="0" borderId="0" xfId="0" applyNumberFormat="1" applyFont="1" applyBorder="1" applyAlignment="1">
      <alignment vertical="center" wrapText="1"/>
    </xf>
    <xf numFmtId="181" fontId="27" fillId="0" borderId="60" xfId="0" applyNumberFormat="1" applyFont="1" applyBorder="1" applyAlignment="1">
      <alignment horizontal="right" vertical="center" wrapText="1"/>
    </xf>
    <xf numFmtId="41" fontId="14" fillId="0" borderId="0" xfId="1" applyFont="1" applyBorder="1" applyAlignment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181" fontId="5" fillId="2" borderId="0" xfId="0" applyNumberFormat="1" applyFont="1" applyFill="1" applyBorder="1" applyAlignment="1">
      <alignment vertical="center"/>
    </xf>
    <xf numFmtId="181" fontId="5" fillId="2" borderId="60" xfId="0" applyNumberFormat="1" applyFont="1" applyFill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5" fillId="3" borderId="59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181" fontId="5" fillId="3" borderId="0" xfId="0" applyNumberFormat="1" applyFont="1" applyFill="1" applyBorder="1" applyAlignment="1">
      <alignment vertical="center"/>
    </xf>
    <xf numFmtId="181" fontId="5" fillId="3" borderId="60" xfId="0" applyNumberFormat="1" applyFont="1" applyFill="1" applyBorder="1" applyAlignment="1">
      <alignment vertical="center"/>
    </xf>
    <xf numFmtId="181" fontId="27" fillId="0" borderId="60" xfId="0" applyNumberFormat="1" applyFont="1" applyBorder="1" applyAlignment="1">
      <alignment vertical="center" wrapText="1"/>
    </xf>
    <xf numFmtId="0" fontId="27" fillId="0" borderId="61" xfId="0" applyFont="1" applyBorder="1" applyAlignment="1">
      <alignment vertical="center" wrapText="1"/>
    </xf>
    <xf numFmtId="0" fontId="27" fillId="0" borderId="62" xfId="0" applyFont="1" applyBorder="1" applyAlignment="1">
      <alignment vertical="center" wrapText="1"/>
    </xf>
    <xf numFmtId="0" fontId="27" fillId="0" borderId="62" xfId="0" applyFont="1" applyBorder="1" applyAlignment="1">
      <alignment horizontal="center" vertical="center" wrapText="1"/>
    </xf>
    <xf numFmtId="181" fontId="27" fillId="0" borderId="63" xfId="0" applyNumberFormat="1" applyFont="1" applyBorder="1" applyAlignment="1">
      <alignment vertical="center" wrapText="1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0" xfId="0" applyFont="1" applyFill="1" applyBorder="1" applyAlignment="1">
      <alignment horizontal="centerContinuous" vertical="center"/>
    </xf>
    <xf numFmtId="0" fontId="6" fillId="5" borderId="2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Continuous" vertical="center" wrapText="1"/>
    </xf>
    <xf numFmtId="181" fontId="5" fillId="2" borderId="1" xfId="0" applyNumberFormat="1" applyFont="1" applyFill="1" applyBorder="1" applyAlignment="1">
      <alignment vertical="center"/>
    </xf>
    <xf numFmtId="181" fontId="5" fillId="2" borderId="23" xfId="0" applyNumberFormat="1" applyFont="1" applyFill="1" applyBorder="1" applyAlignment="1">
      <alignment vertical="center"/>
    </xf>
    <xf numFmtId="181" fontId="5" fillId="3" borderId="1" xfId="0" applyNumberFormat="1" applyFont="1" applyFill="1" applyBorder="1" applyAlignment="1">
      <alignment vertical="center"/>
    </xf>
    <xf numFmtId="181" fontId="5" fillId="3" borderId="23" xfId="0" applyNumberFormat="1" applyFont="1" applyFill="1" applyBorder="1" applyAlignment="1">
      <alignment vertical="center"/>
    </xf>
    <xf numFmtId="181" fontId="27" fillId="0" borderId="1" xfId="0" applyNumberFormat="1" applyFont="1" applyBorder="1" applyAlignment="1">
      <alignment horizontal="right" vertical="center" wrapText="1"/>
    </xf>
    <xf numFmtId="181" fontId="27" fillId="0" borderId="23" xfId="0" applyNumberFormat="1" applyFont="1" applyBorder="1" applyAlignment="1">
      <alignment horizontal="right" vertical="center" wrapText="1"/>
    </xf>
    <xf numFmtId="181" fontId="5" fillId="2" borderId="25" xfId="0" applyNumberFormat="1" applyFont="1" applyFill="1" applyBorder="1" applyAlignment="1">
      <alignment vertical="center"/>
    </xf>
    <xf numFmtId="181" fontId="5" fillId="2" borderId="26" xfId="0" applyNumberFormat="1" applyFont="1" applyFill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/>
    </xf>
    <xf numFmtId="181" fontId="4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5" borderId="57" xfId="0" applyNumberFormat="1" applyFont="1" applyFill="1" applyBorder="1" applyAlignment="1">
      <alignment vertical="center"/>
    </xf>
    <xf numFmtId="176" fontId="6" fillId="5" borderId="58" xfId="0" applyNumberFormat="1" applyFont="1" applyFill="1" applyBorder="1" applyAlignment="1">
      <alignment vertical="center"/>
    </xf>
    <xf numFmtId="176" fontId="6" fillId="5" borderId="0" xfId="0" applyNumberFormat="1" applyFont="1" applyFill="1" applyBorder="1" applyAlignment="1">
      <alignment horizontal="center" vertical="center"/>
    </xf>
    <xf numFmtId="176" fontId="6" fillId="5" borderId="60" xfId="0" applyNumberFormat="1" applyFont="1" applyFill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5" fillId="0" borderId="0" xfId="0" applyNumberFormat="1" applyFont="1" applyBorder="1" applyAlignment="1">
      <alignment vertical="center"/>
    </xf>
    <xf numFmtId="10" fontId="15" fillId="0" borderId="0" xfId="2" applyNumberFormat="1" applyFont="1" applyBorder="1" applyAlignment="1">
      <alignment vertical="center"/>
    </xf>
    <xf numFmtId="176" fontId="15" fillId="0" borderId="60" xfId="0" applyNumberFormat="1" applyFont="1" applyBorder="1" applyAlignment="1">
      <alignment vertical="center"/>
    </xf>
    <xf numFmtId="176" fontId="15" fillId="0" borderId="64" xfId="0" applyNumberFormat="1" applyFont="1" applyBorder="1" applyAlignment="1">
      <alignment horizontal="center" vertical="center"/>
    </xf>
    <xf numFmtId="176" fontId="15" fillId="0" borderId="65" xfId="0" applyNumberFormat="1" applyFont="1" applyBorder="1" applyAlignment="1">
      <alignment vertical="center"/>
    </xf>
    <xf numFmtId="176" fontId="15" fillId="0" borderId="66" xfId="0" applyNumberFormat="1" applyFont="1" applyBorder="1" applyAlignment="1">
      <alignment vertical="center"/>
    </xf>
    <xf numFmtId="176" fontId="15" fillId="0" borderId="0" xfId="0" applyNumberFormat="1" applyFont="1" applyAlignment="1">
      <alignment horizontal="right" vertical="center"/>
    </xf>
    <xf numFmtId="176" fontId="6" fillId="5" borderId="67" xfId="0" applyNumberFormat="1" applyFont="1" applyFill="1" applyBorder="1" applyAlignment="1">
      <alignment horizontal="center" vertical="center"/>
    </xf>
    <xf numFmtId="176" fontId="6" fillId="5" borderId="68" xfId="0" applyNumberFormat="1" applyFont="1" applyFill="1" applyBorder="1" applyAlignment="1">
      <alignment horizontal="center" vertical="center"/>
    </xf>
    <xf numFmtId="176" fontId="6" fillId="5" borderId="69" xfId="0" applyNumberFormat="1" applyFont="1" applyFill="1" applyBorder="1" applyAlignment="1">
      <alignment horizontal="center" vertical="center"/>
    </xf>
    <xf numFmtId="176" fontId="15" fillId="0" borderId="70" xfId="0" applyNumberFormat="1" applyFont="1" applyBorder="1" applyAlignment="1">
      <alignment vertical="center"/>
    </xf>
    <xf numFmtId="176" fontId="15" fillId="0" borderId="44" xfId="0" applyNumberFormat="1" applyFont="1" applyBorder="1" applyAlignment="1">
      <alignment vertical="center"/>
    </xf>
    <xf numFmtId="176" fontId="15" fillId="0" borderId="64" xfId="0" applyNumberFormat="1" applyFont="1" applyBorder="1" applyAlignment="1">
      <alignment vertical="center"/>
    </xf>
    <xf numFmtId="176" fontId="15" fillId="0" borderId="0" xfId="0" quotePrefix="1" applyNumberFormat="1" applyFont="1" applyAlignment="1">
      <alignment vertical="center"/>
    </xf>
    <xf numFmtId="176" fontId="15" fillId="0" borderId="71" xfId="0" applyNumberFormat="1" applyFont="1" applyBorder="1" applyAlignment="1">
      <alignment vertical="center"/>
    </xf>
    <xf numFmtId="176" fontId="15" fillId="0" borderId="72" xfId="0" applyNumberFormat="1" applyFont="1" applyBorder="1" applyAlignment="1">
      <alignment vertical="center"/>
    </xf>
    <xf numFmtId="0" fontId="4" fillId="0" borderId="0" xfId="0" applyFont="1"/>
    <xf numFmtId="176" fontId="6" fillId="5" borderId="56" xfId="0" applyNumberFormat="1" applyFont="1" applyFill="1" applyBorder="1" applyAlignment="1">
      <alignment horizontal="center" vertical="center" wrapText="1"/>
    </xf>
    <xf numFmtId="176" fontId="6" fillId="5" borderId="57" xfId="0" applyNumberFormat="1" applyFont="1" applyFill="1" applyBorder="1" applyAlignment="1">
      <alignment horizontal="center" vertical="center" wrapText="1"/>
    </xf>
    <xf numFmtId="176" fontId="6" fillId="5" borderId="58" xfId="0" applyNumberFormat="1" applyFont="1" applyFill="1" applyBorder="1" applyAlignment="1">
      <alignment horizontal="center" vertical="center" wrapText="1"/>
    </xf>
    <xf numFmtId="176" fontId="4" fillId="0" borderId="59" xfId="0" applyNumberFormat="1" applyFont="1" applyBorder="1" applyAlignment="1">
      <alignment vertical="center"/>
    </xf>
    <xf numFmtId="10" fontId="4" fillId="0" borderId="0" xfId="2" applyNumberFormat="1" applyFont="1" applyBorder="1" applyAlignment="1">
      <alignment vertical="center"/>
    </xf>
    <xf numFmtId="176" fontId="4" fillId="0" borderId="60" xfId="0" applyNumberFormat="1" applyFont="1" applyBorder="1" applyAlignment="1">
      <alignment vertical="center"/>
    </xf>
    <xf numFmtId="176" fontId="4" fillId="0" borderId="64" xfId="0" applyNumberFormat="1" applyFont="1" applyBorder="1" applyAlignment="1">
      <alignment vertical="center"/>
    </xf>
    <xf numFmtId="176" fontId="4" fillId="0" borderId="65" xfId="0" applyNumberFormat="1" applyFont="1" applyBorder="1" applyAlignment="1">
      <alignment vertical="center"/>
    </xf>
    <xf numFmtId="176" fontId="4" fillId="0" borderId="66" xfId="0" applyNumberFormat="1" applyFont="1" applyBorder="1" applyAlignment="1">
      <alignment vertical="center"/>
    </xf>
    <xf numFmtId="41" fontId="4" fillId="0" borderId="0" xfId="1" applyFont="1"/>
    <xf numFmtId="176" fontId="6" fillId="0" borderId="0" xfId="0" applyNumberFormat="1" applyFont="1" applyFill="1" applyAlignment="1">
      <alignment horizontal="center" vertical="center"/>
    </xf>
    <xf numFmtId="176" fontId="6" fillId="5" borderId="0" xfId="0" applyNumberFormat="1" applyFont="1" applyFill="1" applyAlignment="1">
      <alignment horizontal="center" vertical="center"/>
    </xf>
    <xf numFmtId="176" fontId="6" fillId="5" borderId="41" xfId="0" applyNumberFormat="1" applyFont="1" applyFill="1" applyBorder="1" applyAlignment="1">
      <alignment horizontal="center" vertical="center"/>
    </xf>
    <xf numFmtId="176" fontId="6" fillId="5" borderId="42" xfId="0" applyNumberFormat="1" applyFont="1" applyFill="1" applyBorder="1" applyAlignment="1">
      <alignment horizontal="center" vertical="center"/>
    </xf>
    <xf numFmtId="10" fontId="4" fillId="0" borderId="41" xfId="2" applyNumberFormat="1" applyFont="1" applyBorder="1" applyAlignment="1">
      <alignment horizontal="center" vertical="center"/>
    </xf>
    <xf numFmtId="176" fontId="4" fillId="0" borderId="41" xfId="0" applyNumberFormat="1" applyFont="1" applyBorder="1" applyAlignment="1">
      <alignment vertical="center"/>
    </xf>
    <xf numFmtId="176" fontId="5" fillId="0" borderId="43" xfId="0" applyNumberFormat="1" applyFont="1" applyBorder="1" applyAlignment="1">
      <alignment vertical="center"/>
    </xf>
    <xf numFmtId="176" fontId="5" fillId="0" borderId="45" xfId="0" applyNumberFormat="1" applyFont="1" applyBorder="1" applyAlignment="1">
      <alignment vertical="center"/>
    </xf>
    <xf numFmtId="176" fontId="5" fillId="0" borderId="0" xfId="0" applyNumberFormat="1" applyFont="1" applyFill="1" applyAlignment="1">
      <alignment vertical="center"/>
    </xf>
    <xf numFmtId="176" fontId="5" fillId="0" borderId="44" xfId="0" applyNumberFormat="1" applyFont="1" applyBorder="1" applyAlignment="1">
      <alignment vertical="center"/>
    </xf>
    <xf numFmtId="176" fontId="4" fillId="0" borderId="89" xfId="0" applyNumberFormat="1" applyFont="1" applyBorder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52" xfId="0" applyNumberFormat="1" applyFont="1" applyBorder="1" applyAlignment="1">
      <alignment horizontal="center" vertical="center"/>
    </xf>
    <xf numFmtId="0" fontId="4" fillId="0" borderId="59" xfId="0" applyNumberFormat="1" applyFont="1" applyBorder="1" applyAlignment="1">
      <alignment horizontal="center" vertical="center"/>
    </xf>
    <xf numFmtId="176" fontId="4" fillId="21" borderId="0" xfId="0" applyNumberFormat="1" applyFont="1" applyFill="1" applyBorder="1" applyAlignment="1">
      <alignment vertical="center"/>
    </xf>
    <xf numFmtId="176" fontId="4" fillId="22" borderId="0" xfId="0" applyNumberFormat="1" applyFont="1" applyFill="1" applyBorder="1" applyAlignment="1">
      <alignment vertical="center"/>
    </xf>
    <xf numFmtId="0" fontId="4" fillId="0" borderId="61" xfId="0" applyNumberFormat="1" applyFont="1" applyBorder="1" applyAlignment="1">
      <alignment horizontal="center" vertical="center"/>
    </xf>
    <xf numFmtId="176" fontId="4" fillId="0" borderId="62" xfId="0" applyNumberFormat="1" applyFont="1" applyBorder="1" applyAlignment="1">
      <alignment vertical="center"/>
    </xf>
    <xf numFmtId="176" fontId="4" fillId="0" borderId="63" xfId="0" applyNumberFormat="1" applyFont="1" applyBorder="1" applyAlignment="1">
      <alignment vertical="center"/>
    </xf>
    <xf numFmtId="176" fontId="5" fillId="0" borderId="71" xfId="0" applyNumberFormat="1" applyFont="1" applyBorder="1" applyAlignment="1">
      <alignment horizontal="center" vertical="center"/>
    </xf>
    <xf numFmtId="176" fontId="5" fillId="0" borderId="88" xfId="0" applyNumberFormat="1" applyFont="1" applyBorder="1" applyAlignment="1">
      <alignment vertical="center"/>
    </xf>
    <xf numFmtId="176" fontId="5" fillId="0" borderId="72" xfId="0" applyNumberFormat="1" applyFont="1" applyBorder="1" applyAlignment="1">
      <alignment vertical="center"/>
    </xf>
    <xf numFmtId="176" fontId="5" fillId="0" borderId="87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left" vertical="center"/>
    </xf>
    <xf numFmtId="176" fontId="5" fillId="0" borderId="55" xfId="0" applyNumberFormat="1" applyFont="1" applyBorder="1" applyAlignment="1">
      <alignment horizontal="left" vertical="center"/>
    </xf>
    <xf numFmtId="176" fontId="5" fillId="0" borderId="55" xfId="0" applyNumberFormat="1" applyFont="1" applyBorder="1" applyAlignment="1">
      <alignment vertical="center"/>
    </xf>
    <xf numFmtId="14" fontId="6" fillId="5" borderId="46" xfId="0" applyNumberFormat="1" applyFont="1" applyFill="1" applyBorder="1" applyAlignment="1">
      <alignment horizontal="center" vertical="center" shrinkToFit="1"/>
    </xf>
    <xf numFmtId="14" fontId="6" fillId="5" borderId="47" xfId="0" applyNumberFormat="1" applyFont="1" applyFill="1" applyBorder="1" applyAlignment="1">
      <alignment horizontal="center" vertical="center" shrinkToFit="1"/>
    </xf>
    <xf numFmtId="14" fontId="6" fillId="5" borderId="85" xfId="0" applyNumberFormat="1" applyFont="1" applyFill="1" applyBorder="1" applyAlignment="1">
      <alignment horizontal="center" vertical="center" shrinkToFit="1"/>
    </xf>
    <xf numFmtId="0" fontId="4" fillId="0" borderId="48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vertical="center"/>
    </xf>
    <xf numFmtId="0" fontId="4" fillId="0" borderId="4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176" fontId="6" fillId="5" borderId="19" xfId="0" applyNumberFormat="1" applyFont="1" applyFill="1" applyBorder="1" applyAlignment="1">
      <alignment horizontal="center" vertical="center" wrapText="1"/>
    </xf>
    <xf numFmtId="176" fontId="6" fillId="5" borderId="20" xfId="0" applyNumberFormat="1" applyFont="1" applyFill="1" applyBorder="1" applyAlignment="1">
      <alignment horizontal="center" vertical="center" wrapText="1"/>
    </xf>
    <xf numFmtId="176" fontId="6" fillId="5" borderId="21" xfId="0" applyNumberFormat="1" applyFont="1" applyFill="1" applyBorder="1" applyAlignment="1">
      <alignment horizontal="center" vertical="center" wrapText="1"/>
    </xf>
    <xf numFmtId="176" fontId="4" fillId="0" borderId="2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176" fontId="4" fillId="0" borderId="103" xfId="0" applyNumberFormat="1" applyFont="1" applyBorder="1" applyAlignment="1">
      <alignment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104" xfId="0" applyNumberFormat="1" applyFont="1" applyBorder="1" applyAlignment="1">
      <alignment vertical="center"/>
    </xf>
    <xf numFmtId="176" fontId="4" fillId="0" borderId="26" xfId="0" applyNumberFormat="1" applyFont="1" applyBorder="1" applyAlignment="1">
      <alignment vertical="center"/>
    </xf>
    <xf numFmtId="176" fontId="5" fillId="2" borderId="22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/>
    </xf>
    <xf numFmtId="176" fontId="4" fillId="2" borderId="23" xfId="0" applyNumberFormat="1" applyFont="1" applyFill="1" applyBorder="1" applyAlignment="1">
      <alignment vertical="center"/>
    </xf>
    <xf numFmtId="176" fontId="4" fillId="0" borderId="2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23" xfId="0" applyNumberFormat="1" applyFont="1" applyFill="1" applyBorder="1" applyAlignment="1">
      <alignment vertical="center"/>
    </xf>
    <xf numFmtId="176" fontId="5" fillId="0" borderId="22" xfId="0" applyNumberFormat="1" applyFont="1" applyFill="1" applyBorder="1" applyAlignment="1">
      <alignment horizontal="center" vertical="center"/>
    </xf>
    <xf numFmtId="176" fontId="4" fillId="0" borderId="41" xfId="0" applyNumberFormat="1" applyFont="1" applyBorder="1" applyAlignment="1">
      <alignment horizontal="center" vertical="center"/>
    </xf>
    <xf numFmtId="176" fontId="4" fillId="0" borderId="22" xfId="0" quotePrefix="1" applyNumberFormat="1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vertical="center"/>
    </xf>
    <xf numFmtId="176" fontId="5" fillId="0" borderId="62" xfId="0" applyNumberFormat="1" applyFont="1" applyBorder="1" applyAlignment="1">
      <alignment vertical="center"/>
    </xf>
    <xf numFmtId="176" fontId="5" fillId="0" borderId="62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41" fontId="19" fillId="0" borderId="0" xfId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vertical="center"/>
    </xf>
    <xf numFmtId="177" fontId="4" fillId="0" borderId="0" xfId="1" applyNumberFormat="1" applyFont="1" applyBorder="1" applyAlignment="1">
      <alignment vertical="center"/>
    </xf>
    <xf numFmtId="177" fontId="4" fillId="0" borderId="0" xfId="1" applyNumberFormat="1" applyFont="1" applyAlignment="1">
      <alignment vertical="center"/>
    </xf>
    <xf numFmtId="176" fontId="4" fillId="3" borderId="89" xfId="0" applyNumberFormat="1" applyFont="1" applyFill="1" applyBorder="1" applyAlignment="1">
      <alignment horizontal="left" vertical="center"/>
    </xf>
    <xf numFmtId="176" fontId="14" fillId="3" borderId="89" xfId="0" applyNumberFormat="1" applyFont="1" applyFill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41" fontId="4" fillId="0" borderId="25" xfId="1" applyFont="1" applyBorder="1" applyAlignment="1">
      <alignment vertical="center"/>
    </xf>
    <xf numFmtId="176" fontId="4" fillId="0" borderId="52" xfId="0" applyNumberFormat="1" applyFont="1" applyBorder="1" applyAlignment="1">
      <alignment vertical="center"/>
    </xf>
    <xf numFmtId="176" fontId="4" fillId="0" borderId="53" xfId="0" applyNumberFormat="1" applyFont="1" applyFill="1" applyBorder="1" applyAlignment="1">
      <alignment vertical="center"/>
    </xf>
    <xf numFmtId="176" fontId="4" fillId="16" borderId="1" xfId="0" applyNumberFormat="1" applyFont="1" applyFill="1" applyBorder="1" applyAlignment="1">
      <alignment vertical="center"/>
    </xf>
    <xf numFmtId="176" fontId="5" fillId="0" borderId="22" xfId="0" applyNumberFormat="1" applyFont="1" applyFill="1" applyBorder="1" applyAlignment="1">
      <alignment horizontal="left" vertical="center"/>
    </xf>
    <xf numFmtId="41" fontId="4" fillId="0" borderId="0" xfId="1" applyFont="1" applyFill="1" applyBorder="1" applyAlignment="1">
      <alignment vertical="center"/>
    </xf>
    <xf numFmtId="176" fontId="5" fillId="2" borderId="22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vertical="center"/>
    </xf>
    <xf numFmtId="176" fontId="5" fillId="2" borderId="23" xfId="0" applyNumberFormat="1" applyFont="1" applyFill="1" applyBorder="1" applyAlignment="1">
      <alignment vertical="center"/>
    </xf>
    <xf numFmtId="176" fontId="5" fillId="0" borderId="53" xfId="0" applyNumberFormat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176" fontId="4" fillId="16" borderId="23" xfId="0" applyNumberFormat="1" applyFont="1" applyFill="1" applyBorder="1" applyAlignment="1">
      <alignment vertical="center"/>
    </xf>
    <xf numFmtId="176" fontId="4" fillId="0" borderId="24" xfId="0" applyNumberFormat="1" applyFont="1" applyFill="1" applyBorder="1" applyAlignment="1">
      <alignment horizontal="center" vertical="center"/>
    </xf>
    <xf numFmtId="176" fontId="4" fillId="0" borderId="25" xfId="0" applyNumberFormat="1" applyFont="1" applyFill="1" applyBorder="1" applyAlignment="1">
      <alignment vertical="center"/>
    </xf>
    <xf numFmtId="176" fontId="4" fillId="16" borderId="25" xfId="0" applyNumberFormat="1" applyFont="1" applyFill="1" applyBorder="1" applyAlignment="1">
      <alignment vertical="center"/>
    </xf>
    <xf numFmtId="176" fontId="4" fillId="16" borderId="26" xfId="0" applyNumberFormat="1" applyFont="1" applyFill="1" applyBorder="1" applyAlignment="1">
      <alignment vertical="center"/>
    </xf>
    <xf numFmtId="176" fontId="4" fillId="0" borderId="54" xfId="0" applyNumberFormat="1" applyFont="1" applyFill="1" applyBorder="1" applyAlignment="1">
      <alignment vertical="center"/>
    </xf>
    <xf numFmtId="176" fontId="6" fillId="5" borderId="38" xfId="0" applyNumberFormat="1" applyFont="1" applyFill="1" applyBorder="1" applyAlignment="1">
      <alignment horizontal="center" vertical="center"/>
    </xf>
    <xf numFmtId="176" fontId="6" fillId="5" borderId="39" xfId="0" applyNumberFormat="1" applyFont="1" applyFill="1" applyBorder="1" applyAlignment="1">
      <alignment horizontal="center" vertical="center"/>
    </xf>
    <xf numFmtId="176" fontId="6" fillId="5" borderId="39" xfId="0" applyNumberFormat="1" applyFont="1" applyFill="1" applyBorder="1" applyAlignment="1">
      <alignment horizontal="center" vertical="center" wrapText="1"/>
    </xf>
    <xf numFmtId="176" fontId="6" fillId="5" borderId="4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/>
    </xf>
    <xf numFmtId="176" fontId="5" fillId="2" borderId="41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15" fillId="2" borderId="0" xfId="0" applyNumberFormat="1" applyFont="1" applyFill="1" applyBorder="1" applyAlignment="1">
      <alignment horizontal="center" vertical="center" wrapText="1"/>
    </xf>
    <xf numFmtId="176" fontId="15" fillId="2" borderId="42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Fill="1" applyBorder="1" applyAlignment="1">
      <alignment horizontal="center" vertical="center"/>
    </xf>
    <xf numFmtId="176" fontId="5" fillId="6" borderId="41" xfId="0" applyNumberFormat="1" applyFont="1" applyFill="1" applyBorder="1" applyAlignment="1">
      <alignment horizontal="left" vertical="center"/>
    </xf>
    <xf numFmtId="176" fontId="5" fillId="6" borderId="0" xfId="0" applyNumberFormat="1" applyFont="1" applyFill="1" applyBorder="1" applyAlignment="1">
      <alignment horizontal="left" vertical="center"/>
    </xf>
    <xf numFmtId="176" fontId="5" fillId="6" borderId="0" xfId="0" applyNumberFormat="1" applyFont="1" applyFill="1" applyBorder="1" applyAlignment="1">
      <alignment horizontal="center" vertical="center"/>
    </xf>
    <xf numFmtId="176" fontId="5" fillId="6" borderId="42" xfId="0" applyNumberFormat="1" applyFont="1" applyFill="1" applyBorder="1" applyAlignment="1">
      <alignment horizontal="center" vertical="center"/>
    </xf>
    <xf numFmtId="10" fontId="4" fillId="0" borderId="42" xfId="2" applyNumberFormat="1" applyFont="1" applyBorder="1" applyAlignment="1">
      <alignment vertical="center"/>
    </xf>
    <xf numFmtId="176" fontId="5" fillId="6" borderId="41" xfId="0" applyNumberFormat="1" applyFont="1" applyFill="1" applyBorder="1" applyAlignment="1">
      <alignment vertical="center"/>
    </xf>
    <xf numFmtId="176" fontId="5" fillId="6" borderId="0" xfId="0" applyNumberFormat="1" applyFont="1" applyFill="1" applyBorder="1" applyAlignment="1">
      <alignment vertical="center"/>
    </xf>
    <xf numFmtId="176" fontId="5" fillId="6" borderId="42" xfId="0" applyNumberFormat="1" applyFont="1" applyFill="1" applyBorder="1" applyAlignment="1">
      <alignment vertical="center"/>
    </xf>
    <xf numFmtId="176" fontId="4" fillId="0" borderId="41" xfId="0" quotePrefix="1" applyNumberFormat="1" applyFont="1" applyBorder="1" applyAlignment="1">
      <alignment horizontal="center" vertical="center"/>
    </xf>
    <xf numFmtId="176" fontId="4" fillId="2" borderId="0" xfId="0" applyNumberFormat="1" applyFont="1" applyFill="1" applyBorder="1" applyAlignment="1">
      <alignment vertical="center"/>
    </xf>
    <xf numFmtId="176" fontId="4" fillId="2" borderId="42" xfId="0" applyNumberFormat="1" applyFont="1" applyFill="1" applyBorder="1" applyAlignment="1">
      <alignment vertical="center"/>
    </xf>
    <xf numFmtId="176" fontId="5" fillId="2" borderId="42" xfId="0" applyNumberFormat="1" applyFont="1" applyFill="1" applyBorder="1" applyAlignment="1">
      <alignment vertical="center"/>
    </xf>
    <xf numFmtId="176" fontId="5" fillId="0" borderId="41" xfId="0" applyNumberFormat="1" applyFont="1" applyBorder="1" applyAlignment="1">
      <alignment vertical="center"/>
    </xf>
    <xf numFmtId="176" fontId="5" fillId="0" borderId="42" xfId="0" applyNumberFormat="1" applyFont="1" applyBorder="1" applyAlignment="1">
      <alignment vertical="center"/>
    </xf>
    <xf numFmtId="176" fontId="4" fillId="0" borderId="41" xfId="0" applyNumberFormat="1" applyFont="1" applyBorder="1" applyAlignment="1">
      <alignment horizontal="left" vertical="center"/>
    </xf>
    <xf numFmtId="176" fontId="4" fillId="0" borderId="43" xfId="0" applyNumberFormat="1" applyFont="1" applyBorder="1" applyAlignment="1">
      <alignment vertical="center"/>
    </xf>
    <xf numFmtId="183" fontId="4" fillId="0" borderId="0" xfId="0" applyNumberFormat="1" applyFont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 wrapText="1"/>
    </xf>
    <xf numFmtId="176" fontId="6" fillId="5" borderId="3" xfId="0" applyNumberFormat="1" applyFont="1" applyFill="1" applyBorder="1" applyAlignment="1">
      <alignment horizontal="center" vertical="center" wrapText="1"/>
    </xf>
    <xf numFmtId="176" fontId="6" fillId="5" borderId="4" xfId="0" applyNumberFormat="1" applyFont="1" applyFill="1" applyBorder="1" applyAlignment="1">
      <alignment horizontal="center" vertical="center" wrapText="1"/>
    </xf>
    <xf numFmtId="183" fontId="6" fillId="5" borderId="2" xfId="0" applyNumberFormat="1" applyFont="1" applyFill="1" applyBorder="1" applyAlignment="1">
      <alignment horizontal="center" vertical="center" wrapText="1"/>
    </xf>
    <xf numFmtId="0" fontId="17" fillId="13" borderId="0" xfId="0" applyFont="1" applyFill="1" applyAlignment="1" applyProtection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Alignment="1">
      <alignment vertical="center"/>
    </xf>
    <xf numFmtId="176" fontId="5" fillId="4" borderId="6" xfId="0" applyNumberFormat="1" applyFont="1" applyFill="1" applyBorder="1" applyAlignment="1">
      <alignment vertical="center"/>
    </xf>
    <xf numFmtId="183" fontId="4" fillId="0" borderId="0" xfId="0" applyNumberFormat="1" applyFont="1" applyBorder="1" applyAlignment="1">
      <alignment horizontal="center" vertical="center"/>
    </xf>
    <xf numFmtId="176" fontId="28" fillId="18" borderId="0" xfId="0" applyNumberFormat="1" applyFont="1" applyFill="1" applyBorder="1" applyAlignment="1">
      <alignment vertical="center"/>
    </xf>
    <xf numFmtId="0" fontId="18" fillId="14" borderId="86" xfId="0" applyFont="1" applyFill="1" applyBorder="1" applyAlignment="1" applyProtection="1">
      <alignment vertical="center"/>
    </xf>
    <xf numFmtId="0" fontId="5" fillId="2" borderId="5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83" fontId="4" fillId="0" borderId="105" xfId="0" applyNumberFormat="1" applyFont="1" applyBorder="1" applyAlignment="1">
      <alignment horizontal="center" vertical="center"/>
    </xf>
    <xf numFmtId="176" fontId="4" fillId="0" borderId="105" xfId="0" applyNumberFormat="1" applyFont="1" applyBorder="1" applyAlignment="1">
      <alignment vertical="center"/>
    </xf>
    <xf numFmtId="0" fontId="5" fillId="3" borderId="5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vertical="center"/>
    </xf>
    <xf numFmtId="176" fontId="5" fillId="3" borderId="6" xfId="0" applyNumberFormat="1" applyFont="1" applyFill="1" applyBorder="1" applyAlignment="1">
      <alignment vertical="center"/>
    </xf>
    <xf numFmtId="183" fontId="4" fillId="0" borderId="106" xfId="0" applyNumberFormat="1" applyFont="1" applyBorder="1" applyAlignment="1">
      <alignment horizontal="center" vertical="center"/>
    </xf>
    <xf numFmtId="176" fontId="4" fillId="0" borderId="106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vertical="center"/>
    </xf>
    <xf numFmtId="176" fontId="28" fillId="18" borderId="105" xfId="0" applyNumberFormat="1" applyFont="1" applyFill="1" applyBorder="1" applyAlignment="1">
      <alignment vertical="center"/>
    </xf>
    <xf numFmtId="176" fontId="28" fillId="18" borderId="106" xfId="0" applyNumberFormat="1" applyFont="1" applyFill="1" applyBorder="1" applyAlignment="1">
      <alignment vertical="center"/>
    </xf>
    <xf numFmtId="0" fontId="4" fillId="9" borderId="5" xfId="0" applyNumberFormat="1" applyFont="1" applyFill="1" applyBorder="1" applyAlignment="1">
      <alignment horizontal="center" vertical="center"/>
    </xf>
    <xf numFmtId="176" fontId="4" fillId="9" borderId="0" xfId="0" applyNumberFormat="1" applyFont="1" applyFill="1" applyAlignment="1">
      <alignment vertical="center"/>
    </xf>
    <xf numFmtId="176" fontId="4" fillId="9" borderId="6" xfId="0" applyNumberFormat="1" applyFont="1" applyFill="1" applyBorder="1" applyAlignment="1">
      <alignment vertical="center"/>
    </xf>
    <xf numFmtId="183" fontId="4" fillId="0" borderId="106" xfId="0" applyNumberFormat="1" applyFont="1" applyFill="1" applyBorder="1" applyAlignment="1">
      <alignment horizontal="center" vertical="center"/>
    </xf>
    <xf numFmtId="176" fontId="4" fillId="0" borderId="106" xfId="0" applyNumberFormat="1" applyFont="1" applyFill="1" applyBorder="1" applyAlignment="1">
      <alignment vertical="center"/>
    </xf>
    <xf numFmtId="176" fontId="4" fillId="20" borderId="0" xfId="0" applyNumberFormat="1" applyFont="1" applyFill="1" applyAlignment="1">
      <alignment vertical="center"/>
    </xf>
    <xf numFmtId="176" fontId="28" fillId="18" borderId="0" xfId="0" applyNumberFormat="1" applyFont="1" applyFill="1" applyAlignment="1">
      <alignment vertical="center"/>
    </xf>
    <xf numFmtId="176" fontId="4" fillId="20" borderId="106" xfId="0" applyNumberFormat="1" applyFont="1" applyFill="1" applyBorder="1" applyAlignment="1">
      <alignment vertical="center"/>
    </xf>
    <xf numFmtId="176" fontId="4" fillId="20" borderId="105" xfId="0" applyNumberFormat="1" applyFont="1" applyFill="1" applyBorder="1" applyAlignment="1">
      <alignment vertical="center"/>
    </xf>
    <xf numFmtId="0" fontId="5" fillId="3" borderId="5" xfId="0" applyNumberFormat="1" applyFont="1" applyFill="1" applyBorder="1" applyAlignment="1">
      <alignment vertical="center"/>
    </xf>
    <xf numFmtId="176" fontId="5" fillId="3" borderId="0" xfId="0" applyNumberFormat="1" applyFont="1" applyFill="1" applyAlignment="1">
      <alignment horizontal="left" vertical="center"/>
    </xf>
    <xf numFmtId="0" fontId="14" fillId="0" borderId="5" xfId="0" applyNumberFormat="1" applyFont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vertical="center"/>
    </xf>
    <xf numFmtId="176" fontId="5" fillId="4" borderId="9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6" fillId="5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right" vertical="center"/>
    </xf>
    <xf numFmtId="176" fontId="5" fillId="2" borderId="6" xfId="0" applyNumberFormat="1" applyFont="1" applyFill="1" applyBorder="1" applyAlignment="1">
      <alignment horizontal="right" vertical="center"/>
    </xf>
    <xf numFmtId="0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vertical="center"/>
    </xf>
    <xf numFmtId="176" fontId="4" fillId="0" borderId="9" xfId="0" applyNumberFormat="1" applyFont="1" applyBorder="1" applyAlignment="1">
      <alignment vertical="center"/>
    </xf>
    <xf numFmtId="176" fontId="6" fillId="5" borderId="82" xfId="0" applyNumberFormat="1" applyFont="1" applyFill="1" applyBorder="1" applyAlignment="1">
      <alignment horizontal="center" vertical="center" wrapText="1"/>
    </xf>
    <xf numFmtId="176" fontId="15" fillId="6" borderId="22" xfId="0" applyNumberFormat="1" applyFont="1" applyFill="1" applyBorder="1" applyAlignment="1">
      <alignment horizontal="left" vertical="center"/>
    </xf>
    <xf numFmtId="176" fontId="15" fillId="6" borderId="1" xfId="0" applyNumberFormat="1" applyFont="1" applyFill="1" applyBorder="1" applyAlignment="1">
      <alignment horizontal="left" vertical="center" wrapText="1"/>
    </xf>
    <xf numFmtId="176" fontId="15" fillId="6" borderId="1" xfId="0" applyNumberFormat="1" applyFont="1" applyFill="1" applyBorder="1" applyAlignment="1">
      <alignment horizontal="center" vertical="center" wrapText="1"/>
    </xf>
    <xf numFmtId="176" fontId="15" fillId="6" borderId="103" xfId="0" applyNumberFormat="1" applyFont="1" applyFill="1" applyBorder="1" applyAlignment="1">
      <alignment horizontal="center" vertical="center" wrapText="1"/>
    </xf>
    <xf numFmtId="176" fontId="15" fillId="6" borderId="23" xfId="0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Alignment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176" fontId="4" fillId="0" borderId="103" xfId="0" applyNumberFormat="1" applyFont="1" applyFill="1" applyBorder="1" applyAlignment="1">
      <alignment vertical="center"/>
    </xf>
    <xf numFmtId="176" fontId="4" fillId="0" borderId="25" xfId="0" applyNumberFormat="1" applyFont="1" applyBorder="1" applyAlignment="1">
      <alignment horizontal="left" vertical="center"/>
    </xf>
    <xf numFmtId="176" fontId="5" fillId="6" borderId="22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vertical="center"/>
    </xf>
    <xf numFmtId="176" fontId="4" fillId="6" borderId="103" xfId="0" applyNumberFormat="1" applyFont="1" applyFill="1" applyBorder="1" applyAlignment="1">
      <alignment vertical="center"/>
    </xf>
    <xf numFmtId="176" fontId="4" fillId="6" borderId="23" xfId="0" applyNumberFormat="1" applyFont="1" applyFill="1" applyBorder="1" applyAlignment="1">
      <alignment vertical="center"/>
    </xf>
    <xf numFmtId="176" fontId="4" fillId="0" borderId="22" xfId="0" quotePrefix="1" applyNumberFormat="1" applyFont="1" applyBorder="1" applyAlignment="1">
      <alignment horizontal="center" vertical="center"/>
    </xf>
    <xf numFmtId="176" fontId="5" fillId="6" borderId="22" xfId="0" applyNumberFormat="1" applyFont="1" applyFill="1" applyBorder="1" applyAlignment="1">
      <alignment horizontal="left" vertical="center"/>
    </xf>
    <xf numFmtId="176" fontId="5" fillId="6" borderId="1" xfId="0" applyNumberFormat="1" applyFont="1" applyFill="1" applyBorder="1" applyAlignment="1">
      <alignment vertical="center"/>
    </xf>
    <xf numFmtId="176" fontId="5" fillId="6" borderId="103" xfId="0" applyNumberFormat="1" applyFont="1" applyFill="1" applyBorder="1" applyAlignment="1">
      <alignment vertical="center"/>
    </xf>
    <xf numFmtId="176" fontId="5" fillId="6" borderId="23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6" fillId="5" borderId="20" xfId="0" applyNumberFormat="1" applyFont="1" applyFill="1" applyBorder="1" applyAlignment="1">
      <alignment horizontal="left" vertical="center" wrapText="1"/>
    </xf>
    <xf numFmtId="176" fontId="5" fillId="2" borderId="2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176" fontId="4" fillId="19" borderId="0" xfId="0" applyNumberFormat="1" applyFont="1" applyFill="1" applyAlignment="1">
      <alignment vertical="center"/>
    </xf>
    <xf numFmtId="176" fontId="4" fillId="19" borderId="1" xfId="0" applyNumberFormat="1" applyFont="1" applyFill="1" applyBorder="1" applyAlignment="1">
      <alignment vertical="center"/>
    </xf>
    <xf numFmtId="176" fontId="28" fillId="19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76" fontId="28" fillId="0" borderId="1" xfId="0" applyNumberFormat="1" applyFont="1" applyBorder="1" applyAlignment="1">
      <alignment vertical="center"/>
    </xf>
    <xf numFmtId="176" fontId="4" fillId="0" borderId="1" xfId="0" quotePrefix="1" applyNumberFormat="1" applyFont="1" applyBorder="1" applyAlignment="1">
      <alignment vertical="center"/>
    </xf>
    <xf numFmtId="0" fontId="4" fillId="0" borderId="25" xfId="0" applyNumberFormat="1" applyFont="1" applyBorder="1" applyAlignment="1">
      <alignment horizontal="left" vertical="center"/>
    </xf>
    <xf numFmtId="176" fontId="6" fillId="5" borderId="40" xfId="0" applyNumberFormat="1" applyFont="1" applyFill="1" applyBorder="1" applyAlignment="1">
      <alignment horizontal="center" vertical="center"/>
    </xf>
    <xf numFmtId="176" fontId="5" fillId="0" borderId="73" xfId="0" applyNumberFormat="1" applyFont="1" applyBorder="1" applyAlignment="1">
      <alignment vertical="center"/>
    </xf>
    <xf numFmtId="176" fontId="5" fillId="0" borderId="74" xfId="0" applyNumberFormat="1" applyFont="1" applyBorder="1" applyAlignment="1">
      <alignment vertical="center"/>
    </xf>
    <xf numFmtId="176" fontId="5" fillId="0" borderId="75" xfId="0" applyNumberFormat="1" applyFont="1" applyBorder="1" applyAlignment="1">
      <alignment vertical="center"/>
    </xf>
    <xf numFmtId="176" fontId="4" fillId="0" borderId="73" xfId="0" applyNumberFormat="1" applyFont="1" applyBorder="1" applyAlignment="1">
      <alignment vertical="center"/>
    </xf>
    <xf numFmtId="176" fontId="4" fillId="0" borderId="74" xfId="0" applyNumberFormat="1" applyFont="1" applyBorder="1" applyAlignment="1">
      <alignment vertical="center"/>
    </xf>
    <xf numFmtId="176" fontId="4" fillId="0" borderId="75" xfId="0" applyNumberFormat="1" applyFont="1" applyBorder="1" applyAlignment="1">
      <alignment vertical="center"/>
    </xf>
    <xf numFmtId="176" fontId="6" fillId="5" borderId="56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76" fontId="4" fillId="0" borderId="61" xfId="0" applyNumberFormat="1" applyFont="1" applyBorder="1" applyAlignment="1">
      <alignment vertical="center"/>
    </xf>
    <xf numFmtId="0" fontId="4" fillId="0" borderId="62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176" fontId="4" fillId="0" borderId="56" xfId="0" applyNumberFormat="1" applyFont="1" applyBorder="1" applyAlignment="1">
      <alignment vertical="center"/>
    </xf>
    <xf numFmtId="176" fontId="4" fillId="0" borderId="57" xfId="0" applyNumberFormat="1" applyFont="1" applyBorder="1" applyAlignment="1">
      <alignment vertical="center"/>
    </xf>
    <xf numFmtId="176" fontId="4" fillId="0" borderId="58" xfId="0" applyNumberFormat="1" applyFont="1" applyBorder="1" applyAlignment="1">
      <alignment vertical="center"/>
    </xf>
    <xf numFmtId="176" fontId="1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76" fontId="6" fillId="5" borderId="79" xfId="0" applyNumberFormat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76" fontId="6" fillId="5" borderId="76" xfId="0" applyNumberFormat="1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176" fontId="16" fillId="2" borderId="0" xfId="0" applyNumberFormat="1" applyFont="1" applyFill="1" applyBorder="1" applyAlignment="1">
      <alignment horizontal="right" vertical="center"/>
    </xf>
    <xf numFmtId="176" fontId="16" fillId="2" borderId="60" xfId="0" applyNumberFormat="1" applyFont="1" applyFill="1" applyBorder="1" applyAlignment="1">
      <alignment horizontal="right" vertical="center"/>
    </xf>
    <xf numFmtId="176" fontId="16" fillId="2" borderId="59" xfId="0" applyNumberFormat="1" applyFont="1" applyFill="1" applyBorder="1" applyAlignment="1">
      <alignment horizontal="right" vertical="center"/>
    </xf>
    <xf numFmtId="176" fontId="16" fillId="2" borderId="77" xfId="0" applyNumberFormat="1" applyFont="1" applyFill="1" applyBorder="1" applyAlignment="1">
      <alignment horizontal="right" vertical="center"/>
    </xf>
    <xf numFmtId="0" fontId="16" fillId="0" borderId="41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right" vertical="center"/>
    </xf>
    <xf numFmtId="176" fontId="16" fillId="0" borderId="60" xfId="0" applyNumberFormat="1" applyFont="1" applyBorder="1" applyAlignment="1">
      <alignment horizontal="right" vertical="center"/>
    </xf>
    <xf numFmtId="176" fontId="16" fillId="0" borderId="59" xfId="0" applyNumberFormat="1" applyFont="1" applyBorder="1" applyAlignment="1">
      <alignment horizontal="right" vertical="center"/>
    </xf>
    <xf numFmtId="176" fontId="16" fillId="0" borderId="77" xfId="0" applyNumberFormat="1" applyFont="1" applyFill="1" applyBorder="1" applyAlignment="1">
      <alignment horizontal="right" vertical="center"/>
    </xf>
    <xf numFmtId="176" fontId="16" fillId="0" borderId="0" xfId="0" applyNumberFormat="1" applyFont="1" applyFill="1" applyBorder="1" applyAlignment="1">
      <alignment horizontal="right" vertical="center"/>
    </xf>
    <xf numFmtId="0" fontId="16" fillId="0" borderId="4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76" fontId="16" fillId="0" borderId="60" xfId="0" applyNumberFormat="1" applyFont="1" applyFill="1" applyBorder="1" applyAlignment="1">
      <alignment horizontal="right" vertical="center"/>
    </xf>
    <xf numFmtId="176" fontId="16" fillId="0" borderId="59" xfId="0" applyNumberFormat="1" applyFont="1" applyFill="1" applyBorder="1" applyAlignment="1">
      <alignment horizontal="right" vertical="center"/>
    </xf>
    <xf numFmtId="176" fontId="16" fillId="0" borderId="77" xfId="0" applyNumberFormat="1" applyFont="1" applyBorder="1" applyAlignment="1">
      <alignment horizontal="right" vertical="center"/>
    </xf>
    <xf numFmtId="0" fontId="16" fillId="0" borderId="43" xfId="0" applyFont="1" applyBorder="1" applyAlignment="1">
      <alignment vertical="center"/>
    </xf>
    <xf numFmtId="0" fontId="16" fillId="0" borderId="44" xfId="0" applyFont="1" applyBorder="1" applyAlignment="1">
      <alignment vertical="center"/>
    </xf>
    <xf numFmtId="0" fontId="16" fillId="0" borderId="44" xfId="0" applyFont="1" applyBorder="1" applyAlignment="1">
      <alignment horizontal="center" vertical="center"/>
    </xf>
    <xf numFmtId="176" fontId="16" fillId="0" borderId="44" xfId="0" applyNumberFormat="1" applyFont="1" applyBorder="1" applyAlignment="1">
      <alignment horizontal="right" vertical="center"/>
    </xf>
    <xf numFmtId="176" fontId="16" fillId="0" borderId="80" xfId="0" applyNumberFormat="1" applyFont="1" applyBorder="1" applyAlignment="1">
      <alignment horizontal="right" vertical="center"/>
    </xf>
    <xf numFmtId="176" fontId="16" fillId="0" borderId="61" xfId="0" applyNumberFormat="1" applyFont="1" applyBorder="1" applyAlignment="1">
      <alignment horizontal="right" vertical="center"/>
    </xf>
    <xf numFmtId="176" fontId="16" fillId="0" borderId="62" xfId="0" applyNumberFormat="1" applyFont="1" applyBorder="1" applyAlignment="1">
      <alignment horizontal="right" vertical="center"/>
    </xf>
    <xf numFmtId="176" fontId="16" fillId="0" borderId="63" xfId="0" applyNumberFormat="1" applyFont="1" applyBorder="1" applyAlignment="1">
      <alignment horizontal="right" vertical="center"/>
    </xf>
    <xf numFmtId="176" fontId="16" fillId="0" borderId="78" xfId="0" applyNumberFormat="1" applyFont="1" applyBorder="1" applyAlignment="1">
      <alignment horizontal="right" vertical="center"/>
    </xf>
    <xf numFmtId="0" fontId="4" fillId="0" borderId="57" xfId="0" applyFont="1" applyBorder="1" applyAlignment="1">
      <alignment horizontal="center" vertical="center"/>
    </xf>
    <xf numFmtId="176" fontId="4" fillId="0" borderId="57" xfId="0" applyNumberFormat="1" applyFont="1" applyBorder="1" applyAlignment="1">
      <alignment horizontal="right" vertical="center"/>
    </xf>
    <xf numFmtId="176" fontId="4" fillId="0" borderId="58" xfId="0" applyNumberFormat="1" applyFont="1" applyBorder="1" applyAlignment="1">
      <alignment horizontal="right" vertical="center"/>
    </xf>
    <xf numFmtId="176" fontId="4" fillId="0" borderId="60" xfId="0" applyNumberFormat="1" applyFont="1" applyBorder="1" applyAlignment="1">
      <alignment horizontal="right" vertical="center"/>
    </xf>
    <xf numFmtId="0" fontId="4" fillId="0" borderId="62" xfId="0" applyFont="1" applyBorder="1" applyAlignment="1">
      <alignment horizontal="center" vertical="center"/>
    </xf>
    <xf numFmtId="176" fontId="4" fillId="0" borderId="62" xfId="0" applyNumberFormat="1" applyFont="1" applyBorder="1" applyAlignment="1">
      <alignment horizontal="right" vertical="center"/>
    </xf>
    <xf numFmtId="176" fontId="4" fillId="0" borderId="63" xfId="0" applyNumberFormat="1" applyFont="1" applyBorder="1" applyAlignment="1">
      <alignment horizontal="right" vertical="center"/>
    </xf>
    <xf numFmtId="176" fontId="18" fillId="0" borderId="0" xfId="0" applyNumberFormat="1" applyFont="1" applyBorder="1" applyAlignment="1">
      <alignment vertic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left" vertical="center"/>
    </xf>
    <xf numFmtId="176" fontId="18" fillId="0" borderId="0" xfId="0" applyNumberFormat="1" applyFont="1" applyBorder="1" applyAlignment="1">
      <alignment horizontal="right" vertical="center"/>
    </xf>
    <xf numFmtId="41" fontId="16" fillId="0" borderId="0" xfId="1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29" fillId="0" borderId="0" xfId="0" applyNumberFormat="1" applyFont="1" applyBorder="1" applyAlignment="1">
      <alignment horizontal="center" vertical="center"/>
    </xf>
    <xf numFmtId="176" fontId="29" fillId="0" borderId="0" xfId="0" applyNumberFormat="1" applyFont="1" applyBorder="1" applyAlignment="1">
      <alignment horizontal="left" vertical="center"/>
    </xf>
    <xf numFmtId="41" fontId="15" fillId="0" borderId="0" xfId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76" fontId="5" fillId="0" borderId="0" xfId="0" quotePrefix="1" applyNumberFormat="1" applyFont="1" applyBorder="1" applyAlignment="1">
      <alignment horizontal="left" vertical="center"/>
    </xf>
    <xf numFmtId="41" fontId="15" fillId="0" borderId="56" xfId="1" applyFont="1" applyBorder="1" applyAlignment="1">
      <alignment horizontal="center" vertical="center"/>
    </xf>
    <xf numFmtId="41" fontId="15" fillId="0" borderId="58" xfId="1" applyFont="1" applyBorder="1" applyAlignment="1">
      <alignment horizontal="center" vertical="center"/>
    </xf>
    <xf numFmtId="176" fontId="18" fillId="0" borderId="41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horizontal="left" vertical="center"/>
    </xf>
    <xf numFmtId="176" fontId="4" fillId="0" borderId="42" xfId="0" applyNumberFormat="1" applyFont="1" applyBorder="1" applyAlignment="1">
      <alignment horizontal="right" vertical="center"/>
    </xf>
    <xf numFmtId="41" fontId="16" fillId="0" borderId="59" xfId="1" applyFont="1" applyBorder="1" applyAlignment="1">
      <alignment horizontal="center" vertical="center"/>
    </xf>
    <xf numFmtId="41" fontId="16" fillId="0" borderId="60" xfId="1" applyFont="1" applyBorder="1" applyAlignment="1">
      <alignment vertical="center"/>
    </xf>
    <xf numFmtId="176" fontId="30" fillId="0" borderId="0" xfId="4" applyNumberFormat="1" applyFont="1" applyFill="1" applyBorder="1" applyAlignment="1">
      <alignment horizontal="center" vertical="center"/>
    </xf>
    <xf numFmtId="176" fontId="18" fillId="0" borderId="41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0" borderId="42" xfId="0" applyNumberFormat="1" applyFont="1" applyFill="1" applyBorder="1" applyAlignment="1">
      <alignment horizontal="right" vertical="center"/>
    </xf>
    <xf numFmtId="176" fontId="4" fillId="0" borderId="0" xfId="1" applyNumberFormat="1" applyFont="1" applyFill="1" applyBorder="1" applyAlignment="1">
      <alignment vertical="center"/>
    </xf>
    <xf numFmtId="176" fontId="30" fillId="0" borderId="0" xfId="4" applyNumberFormat="1" applyFont="1" applyFill="1" applyBorder="1" applyAlignment="1">
      <alignment horizontal="left" vertical="center"/>
    </xf>
    <xf numFmtId="176" fontId="30" fillId="0" borderId="0" xfId="4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left" vertical="center"/>
    </xf>
    <xf numFmtId="176" fontId="18" fillId="0" borderId="43" xfId="0" applyNumberFormat="1" applyFont="1" applyFill="1" applyBorder="1" applyAlignment="1">
      <alignment vertical="center"/>
    </xf>
    <xf numFmtId="176" fontId="18" fillId="0" borderId="44" xfId="0" applyNumberFormat="1" applyFont="1" applyFill="1" applyBorder="1" applyAlignment="1">
      <alignment horizontal="left" vertical="center"/>
    </xf>
    <xf numFmtId="176" fontId="4" fillId="0" borderId="44" xfId="0" applyNumberFormat="1" applyFont="1" applyFill="1" applyBorder="1" applyAlignment="1">
      <alignment horizontal="center" vertical="center"/>
    </xf>
    <xf numFmtId="176" fontId="4" fillId="0" borderId="44" xfId="0" applyNumberFormat="1" applyFont="1" applyFill="1" applyBorder="1" applyAlignment="1">
      <alignment vertical="center"/>
    </xf>
    <xf numFmtId="176" fontId="4" fillId="0" borderId="45" xfId="0" applyNumberFormat="1" applyFont="1" applyFill="1" applyBorder="1" applyAlignment="1">
      <alignment horizontal="right" vertical="center"/>
    </xf>
    <xf numFmtId="41" fontId="16" fillId="0" borderId="61" xfId="1" applyFont="1" applyBorder="1" applyAlignment="1">
      <alignment horizontal="center" vertical="center"/>
    </xf>
    <xf numFmtId="41" fontId="16" fillId="0" borderId="63" xfId="1" applyFont="1" applyBorder="1" applyAlignment="1">
      <alignment vertical="center"/>
    </xf>
    <xf numFmtId="0" fontId="6" fillId="5" borderId="40" xfId="0" applyFont="1" applyFill="1" applyBorder="1" applyAlignment="1">
      <alignment horizontal="center" vertical="center" wrapText="1"/>
    </xf>
    <xf numFmtId="176" fontId="5" fillId="4" borderId="0" xfId="0" applyNumberFormat="1" applyFont="1" applyFill="1" applyBorder="1" applyAlignment="1">
      <alignment vertical="center"/>
    </xf>
    <xf numFmtId="176" fontId="5" fillId="4" borderId="42" xfId="0" applyNumberFormat="1" applyFont="1" applyFill="1" applyBorder="1" applyAlignment="1">
      <alignment vertical="center"/>
    </xf>
    <xf numFmtId="176" fontId="5" fillId="3" borderId="42" xfId="0" applyNumberFormat="1" applyFont="1" applyFill="1" applyBorder="1" applyAlignment="1">
      <alignment vertical="center"/>
    </xf>
    <xf numFmtId="0" fontId="14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10" fontId="14" fillId="0" borderId="0" xfId="2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176" fontId="5" fillId="2" borderId="0" xfId="0" applyNumberFormat="1" applyFont="1" applyFill="1" applyBorder="1" applyAlignment="1">
      <alignment horizontal="right" vertical="center"/>
    </xf>
    <xf numFmtId="176" fontId="5" fillId="2" borderId="42" xfId="0" applyNumberFormat="1" applyFont="1" applyFill="1" applyBorder="1" applyAlignment="1">
      <alignment horizontal="right" vertical="center"/>
    </xf>
    <xf numFmtId="176" fontId="5" fillId="2" borderId="59" xfId="0" applyNumberFormat="1" applyFont="1" applyFill="1" applyBorder="1" applyAlignment="1">
      <alignment horizontal="right" vertical="center"/>
    </xf>
    <xf numFmtId="176" fontId="5" fillId="2" borderId="60" xfId="0" applyNumberFormat="1" applyFont="1" applyFill="1" applyBorder="1" applyAlignment="1">
      <alignment horizontal="right" vertical="center"/>
    </xf>
    <xf numFmtId="176" fontId="5" fillId="2" borderId="53" xfId="0" applyNumberFormat="1" applyFont="1" applyFill="1" applyBorder="1" applyAlignment="1">
      <alignment horizontal="right" vertical="center"/>
    </xf>
    <xf numFmtId="176" fontId="5" fillId="2" borderId="59" xfId="0" applyNumberFormat="1" applyFont="1" applyFill="1" applyBorder="1" applyAlignment="1">
      <alignment vertical="center"/>
    </xf>
    <xf numFmtId="176" fontId="5" fillId="2" borderId="60" xfId="0" applyNumberFormat="1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176" fontId="5" fillId="3" borderId="59" xfId="0" applyNumberFormat="1" applyFont="1" applyFill="1" applyBorder="1" applyAlignment="1">
      <alignment vertical="center"/>
    </xf>
    <xf numFmtId="176" fontId="5" fillId="3" borderId="60" xfId="0" applyNumberFormat="1" applyFont="1" applyFill="1" applyBorder="1" applyAlignment="1">
      <alignment vertical="center"/>
    </xf>
    <xf numFmtId="0" fontId="4" fillId="0" borderId="43" xfId="0" applyFont="1" applyBorder="1" applyAlignment="1">
      <alignment horizontal="center" vertical="center"/>
    </xf>
    <xf numFmtId="176" fontId="4" fillId="0" borderId="54" xfId="0" applyNumberFormat="1" applyFont="1" applyBorder="1" applyAlignment="1">
      <alignment vertical="center"/>
    </xf>
    <xf numFmtId="176" fontId="31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3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76" fontId="6" fillId="5" borderId="38" xfId="0" applyNumberFormat="1" applyFont="1" applyFill="1" applyBorder="1" applyAlignment="1">
      <alignment horizontal="center" vertical="center" wrapText="1"/>
    </xf>
    <xf numFmtId="176" fontId="5" fillId="4" borderId="41" xfId="0" applyNumberFormat="1" applyFont="1" applyFill="1" applyBorder="1" applyAlignment="1">
      <alignment vertical="center"/>
    </xf>
    <xf numFmtId="176" fontId="5" fillId="3" borderId="41" xfId="0" applyNumberFormat="1" applyFont="1" applyFill="1" applyBorder="1" applyAlignment="1">
      <alignment vertical="center"/>
    </xf>
    <xf numFmtId="176" fontId="4" fillId="0" borderId="41" xfId="0" applyNumberFormat="1" applyFont="1" applyFill="1" applyBorder="1" applyAlignment="1">
      <alignment vertical="center"/>
    </xf>
    <xf numFmtId="176" fontId="4" fillId="0" borderId="4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6" fillId="0" borderId="4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5" fillId="4" borderId="44" xfId="0" applyNumberFormat="1" applyFont="1" applyFill="1" applyBorder="1" applyAlignment="1">
      <alignment vertical="center"/>
    </xf>
    <xf numFmtId="176" fontId="5" fillId="4" borderId="45" xfId="0" applyNumberFormat="1" applyFont="1" applyFill="1" applyBorder="1" applyAlignment="1">
      <alignment vertical="center"/>
    </xf>
    <xf numFmtId="176" fontId="5" fillId="4" borderId="43" xfId="0" applyNumberFormat="1" applyFont="1" applyFill="1" applyBorder="1" applyAlignment="1">
      <alignment vertical="center"/>
    </xf>
    <xf numFmtId="0" fontId="5" fillId="4" borderId="41" xfId="0" applyNumberFormat="1" applyFont="1" applyFill="1" applyBorder="1" applyAlignment="1">
      <alignment horizontal="center" vertical="center"/>
    </xf>
    <xf numFmtId="0" fontId="5" fillId="2" borderId="41" xfId="0" applyNumberFormat="1" applyFont="1" applyFill="1" applyBorder="1" applyAlignment="1">
      <alignment horizontal="center" vertical="center"/>
    </xf>
    <xf numFmtId="0" fontId="5" fillId="3" borderId="41" xfId="0" applyNumberFormat="1" applyFont="1" applyFill="1" applyBorder="1" applyAlignment="1">
      <alignment horizontal="center" vertical="center"/>
    </xf>
    <xf numFmtId="0" fontId="4" fillId="0" borderId="41" xfId="0" applyNumberFormat="1" applyFont="1" applyBorder="1" applyAlignment="1">
      <alignment horizontal="center" vertical="center"/>
    </xf>
    <xf numFmtId="0" fontId="4" fillId="0" borderId="43" xfId="0" applyNumberFormat="1" applyFont="1" applyBorder="1" applyAlignment="1">
      <alignment horizontal="center" vertical="center"/>
    </xf>
    <xf numFmtId="176" fontId="5" fillId="0" borderId="89" xfId="0" applyNumberFormat="1" applyFont="1" applyBorder="1" applyAlignment="1">
      <alignment vertical="center"/>
    </xf>
    <xf numFmtId="0" fontId="6" fillId="10" borderId="0" xfId="0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right" vertical="center"/>
    </xf>
    <xf numFmtId="10" fontId="4" fillId="0" borderId="0" xfId="2" applyNumberFormat="1" applyFont="1" applyAlignment="1">
      <alignment vertical="center"/>
    </xf>
    <xf numFmtId="10" fontId="5" fillId="0" borderId="0" xfId="2" applyNumberFormat="1" applyFont="1" applyAlignment="1">
      <alignment vertical="center"/>
    </xf>
    <xf numFmtId="176" fontId="4" fillId="20" borderId="0" xfId="0" applyNumberFormat="1" applyFont="1" applyFill="1" applyBorder="1" applyAlignment="1">
      <alignment vertical="center"/>
    </xf>
    <xf numFmtId="184" fontId="5" fillId="0" borderId="0" xfId="0" applyNumberFormat="1" applyFont="1" applyBorder="1" applyAlignment="1">
      <alignment vertical="center"/>
    </xf>
    <xf numFmtId="185" fontId="4" fillId="0" borderId="0" xfId="0" applyNumberFormat="1" applyFont="1" applyBorder="1" applyAlignment="1">
      <alignment horizontal="right" vertical="center"/>
    </xf>
    <xf numFmtId="41" fontId="16" fillId="0" borderId="59" xfId="1" applyFont="1" applyFill="1" applyBorder="1" applyAlignment="1">
      <alignment horizontal="center" vertical="center"/>
    </xf>
    <xf numFmtId="41" fontId="16" fillId="0" borderId="60" xfId="1" applyFont="1" applyFill="1" applyBorder="1" applyAlignment="1">
      <alignment vertical="center"/>
    </xf>
    <xf numFmtId="0" fontId="29" fillId="0" borderId="0" xfId="0" applyNumberFormat="1" applyFont="1" applyBorder="1" applyAlignment="1">
      <alignment horizontal="center" vertical="center"/>
    </xf>
    <xf numFmtId="0" fontId="6" fillId="5" borderId="39" xfId="0" applyNumberFormat="1" applyFont="1" applyFill="1" applyBorder="1" applyAlignment="1">
      <alignment horizontal="center" vertical="center"/>
    </xf>
    <xf numFmtId="0" fontId="30" fillId="0" borderId="0" xfId="4" applyNumberFormat="1" applyFont="1" applyBorder="1" applyAlignment="1">
      <alignment horizontal="center" vertical="center"/>
    </xf>
    <xf numFmtId="0" fontId="30" fillId="0" borderId="0" xfId="4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41" fontId="4" fillId="0" borderId="0" xfId="1" applyFont="1" applyAlignment="1">
      <alignment vertical="center"/>
    </xf>
    <xf numFmtId="0" fontId="4" fillId="21" borderId="0" xfId="0" applyFont="1" applyFill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41" fontId="4" fillId="0" borderId="0" xfId="0" applyNumberFormat="1" applyFont="1" applyAlignment="1">
      <alignment vertical="center"/>
    </xf>
    <xf numFmtId="0" fontId="4" fillId="24" borderId="0" xfId="0" applyFont="1" applyFill="1" applyBorder="1" applyAlignment="1">
      <alignment horizontal="center" vertical="center"/>
    </xf>
    <xf numFmtId="176" fontId="32" fillId="0" borderId="0" xfId="4" applyNumberFormat="1" applyFont="1" applyFill="1" applyBorder="1" applyAlignment="1">
      <alignment horizontal="center" vertical="center"/>
    </xf>
    <xf numFmtId="41" fontId="23" fillId="0" borderId="59" xfId="1" applyFont="1" applyBorder="1" applyAlignment="1">
      <alignment horizontal="center" vertical="center"/>
    </xf>
    <xf numFmtId="41" fontId="23" fillId="0" borderId="60" xfId="1" applyFont="1" applyBorder="1" applyAlignment="1">
      <alignment vertical="center"/>
    </xf>
    <xf numFmtId="176" fontId="33" fillId="0" borderId="0" xfId="0" applyNumberFormat="1" applyFont="1" applyFill="1" applyBorder="1" applyAlignment="1">
      <alignment horizontal="center" vertical="center"/>
    </xf>
    <xf numFmtId="176" fontId="4" fillId="0" borderId="113" xfId="0" applyNumberFormat="1" applyFont="1" applyBorder="1" applyAlignment="1">
      <alignment vertical="center"/>
    </xf>
    <xf numFmtId="9" fontId="4" fillId="0" borderId="113" xfId="2" applyFont="1" applyBorder="1" applyAlignment="1">
      <alignment vertical="center"/>
    </xf>
    <xf numFmtId="0" fontId="6" fillId="10" borderId="0" xfId="0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30" fillId="25" borderId="0" xfId="4" applyNumberFormat="1" applyFont="1" applyFill="1" applyBorder="1" applyAlignment="1">
      <alignment horizontal="center" vertical="center"/>
    </xf>
    <xf numFmtId="0" fontId="18" fillId="25" borderId="0" xfId="0" applyNumberFormat="1" applyFont="1" applyFill="1" applyBorder="1" applyAlignment="1">
      <alignment horizontal="center" vertical="center"/>
    </xf>
    <xf numFmtId="0" fontId="37" fillId="26" borderId="113" xfId="62" applyFont="1" applyFill="1" applyBorder="1">
      <alignment vertical="center"/>
    </xf>
    <xf numFmtId="0" fontId="37" fillId="0" borderId="113" xfId="62" applyFont="1" applyBorder="1">
      <alignment vertical="center"/>
    </xf>
    <xf numFmtId="186" fontId="37" fillId="0" borderId="113" xfId="62" applyNumberFormat="1" applyFont="1" applyBorder="1">
      <alignment vertical="center"/>
    </xf>
    <xf numFmtId="0" fontId="37" fillId="0" borderId="0" xfId="62" applyFont="1">
      <alignment vertical="center"/>
    </xf>
    <xf numFmtId="0" fontId="37" fillId="0" borderId="113" xfId="62" applyFont="1" applyFill="1" applyBorder="1">
      <alignment vertical="center"/>
    </xf>
    <xf numFmtId="186" fontId="37" fillId="0" borderId="0" xfId="62" applyNumberFormat="1" applyFont="1">
      <alignment vertical="center"/>
    </xf>
    <xf numFmtId="0" fontId="4" fillId="0" borderId="113" xfId="0" applyFont="1" applyBorder="1" applyAlignment="1">
      <alignment horizontal="center" vertical="center"/>
    </xf>
    <xf numFmtId="0" fontId="16" fillId="0" borderId="113" xfId="0" applyFont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wrapText="1"/>
    </xf>
    <xf numFmtId="181" fontId="5" fillId="0" borderId="0" xfId="0" applyNumberFormat="1" applyFont="1" applyAlignment="1">
      <alignment vertical="center"/>
    </xf>
    <xf numFmtId="181" fontId="40" fillId="0" borderId="114" xfId="0" applyNumberFormat="1" applyFont="1" applyBorder="1" applyAlignment="1">
      <alignment horizontal="center" vertical="center" wrapText="1"/>
    </xf>
    <xf numFmtId="181" fontId="40" fillId="0" borderId="114" xfId="0" applyNumberFormat="1" applyFont="1" applyBorder="1" applyAlignment="1">
      <alignment horizontal="right" vertical="top" wrapText="1"/>
    </xf>
    <xf numFmtId="181" fontId="40" fillId="0" borderId="121" xfId="0" applyNumberFormat="1" applyFont="1" applyBorder="1" applyAlignment="1">
      <alignment horizontal="right" vertical="top" wrapText="1"/>
    </xf>
    <xf numFmtId="181" fontId="40" fillId="0" borderId="123" xfId="0" applyNumberFormat="1" applyFont="1" applyBorder="1" applyAlignment="1">
      <alignment horizontal="center" vertical="center" wrapText="1"/>
    </xf>
    <xf numFmtId="181" fontId="40" fillId="0" borderId="123" xfId="0" applyNumberFormat="1" applyFont="1" applyBorder="1" applyAlignment="1">
      <alignment horizontal="right" vertical="top" wrapText="1"/>
    </xf>
    <xf numFmtId="0" fontId="40" fillId="0" borderId="120" xfId="0" applyFont="1" applyBorder="1" applyAlignment="1">
      <alignment vertical="top" wrapText="1"/>
    </xf>
    <xf numFmtId="181" fontId="40" fillId="27" borderId="114" xfId="0" applyNumberFormat="1" applyFont="1" applyFill="1" applyBorder="1" applyAlignment="1">
      <alignment horizontal="center" vertical="center" wrapText="1"/>
    </xf>
    <xf numFmtId="181" fontId="40" fillId="27" borderId="121" xfId="0" applyNumberFormat="1" applyFont="1" applyFill="1" applyBorder="1" applyAlignment="1">
      <alignment horizontal="center" vertical="center" wrapText="1"/>
    </xf>
    <xf numFmtId="181" fontId="40" fillId="0" borderId="120" xfId="0" applyNumberFormat="1" applyFont="1" applyBorder="1" applyAlignment="1">
      <alignment vertical="top" wrapText="1"/>
    </xf>
    <xf numFmtId="181" fontId="40" fillId="0" borderId="122" xfId="0" applyNumberFormat="1" applyFont="1" applyBorder="1" applyAlignment="1">
      <alignment vertical="top" wrapText="1"/>
    </xf>
    <xf numFmtId="181" fontId="4" fillId="0" borderId="0" xfId="0" applyNumberFormat="1" applyFont="1" applyBorder="1" applyAlignment="1">
      <alignment vertical="center"/>
    </xf>
    <xf numFmtId="3" fontId="26" fillId="23" borderId="49" xfId="0" applyNumberFormat="1" applyFont="1" applyFill="1" applyBorder="1" applyAlignment="1">
      <alignment horizontal="right" vertical="center"/>
    </xf>
    <xf numFmtId="3" fontId="27" fillId="0" borderId="49" xfId="0" applyNumberFormat="1" applyFont="1" applyBorder="1" applyAlignment="1">
      <alignment horizontal="right" vertical="center"/>
    </xf>
    <xf numFmtId="181" fontId="27" fillId="0" borderId="49" xfId="0" applyNumberFormat="1" applyFont="1" applyBorder="1" applyAlignment="1">
      <alignment horizontal="right" vertical="center"/>
    </xf>
    <xf numFmtId="0" fontId="27" fillId="0" borderId="49" xfId="0" applyFont="1" applyBorder="1" applyAlignment="1">
      <alignment horizontal="right" vertical="center"/>
    </xf>
    <xf numFmtId="181" fontId="5" fillId="2" borderId="22" xfId="0" applyNumberFormat="1" applyFont="1" applyFill="1" applyBorder="1" applyAlignment="1">
      <alignment vertical="center"/>
    </xf>
    <xf numFmtId="181" fontId="5" fillId="3" borderId="22" xfId="0" applyNumberFormat="1" applyFont="1" applyFill="1" applyBorder="1" applyAlignment="1">
      <alignment vertical="center"/>
    </xf>
    <xf numFmtId="181" fontId="27" fillId="0" borderId="22" xfId="0" applyNumberFormat="1" applyFont="1" applyBorder="1" applyAlignment="1">
      <alignment vertical="center" wrapText="1"/>
    </xf>
    <xf numFmtId="181" fontId="27" fillId="0" borderId="1" xfId="0" applyNumberFormat="1" applyFont="1" applyBorder="1" applyAlignment="1">
      <alignment vertical="center" wrapText="1"/>
    </xf>
    <xf numFmtId="181" fontId="27" fillId="0" borderId="1" xfId="0" applyNumberFormat="1" applyFont="1" applyBorder="1" applyAlignment="1">
      <alignment horizontal="center" vertical="center" wrapText="1"/>
    </xf>
    <xf numFmtId="181" fontId="5" fillId="2" borderId="24" xfId="0" applyNumberFormat="1" applyFont="1" applyFill="1" applyBorder="1" applyAlignment="1">
      <alignment vertical="center"/>
    </xf>
    <xf numFmtId="181" fontId="4" fillId="0" borderId="56" xfId="0" applyNumberFormat="1" applyFont="1" applyBorder="1" applyAlignment="1">
      <alignment vertical="center"/>
    </xf>
    <xf numFmtId="181" fontId="4" fillId="0" borderId="57" xfId="0" applyNumberFormat="1" applyFont="1" applyBorder="1" applyAlignment="1">
      <alignment vertical="center"/>
    </xf>
    <xf numFmtId="181" fontId="14" fillId="0" borderId="57" xfId="0" applyNumberFormat="1" applyFont="1" applyBorder="1" applyAlignment="1">
      <alignment vertical="center"/>
    </xf>
    <xf numFmtId="181" fontId="14" fillId="0" borderId="58" xfId="0" applyNumberFormat="1" applyFont="1" applyBorder="1" applyAlignment="1">
      <alignment vertical="center"/>
    </xf>
    <xf numFmtId="181" fontId="4" fillId="0" borderId="59" xfId="0" applyNumberFormat="1" applyFont="1" applyBorder="1" applyAlignment="1">
      <alignment vertical="center"/>
    </xf>
    <xf numFmtId="181" fontId="14" fillId="0" borderId="0" xfId="0" applyNumberFormat="1" applyFont="1" applyBorder="1" applyAlignment="1">
      <alignment vertical="center"/>
    </xf>
    <xf numFmtId="181" fontId="14" fillId="0" borderId="60" xfId="0" applyNumberFormat="1" applyFont="1" applyBorder="1" applyAlignment="1">
      <alignment vertical="center"/>
    </xf>
    <xf numFmtId="181" fontId="4" fillId="0" borderId="61" xfId="0" applyNumberFormat="1" applyFont="1" applyBorder="1" applyAlignment="1">
      <alignment vertical="center"/>
    </xf>
    <xf numFmtId="181" fontId="4" fillId="0" borderId="62" xfId="0" applyNumberFormat="1" applyFont="1" applyBorder="1" applyAlignment="1">
      <alignment vertical="center"/>
    </xf>
    <xf numFmtId="181" fontId="14" fillId="0" borderId="62" xfId="0" applyNumberFormat="1" applyFont="1" applyBorder="1" applyAlignment="1">
      <alignment vertical="center"/>
    </xf>
    <xf numFmtId="181" fontId="14" fillId="0" borderId="63" xfId="0" applyNumberFormat="1" applyFont="1" applyBorder="1" applyAlignment="1">
      <alignment vertical="center"/>
    </xf>
    <xf numFmtId="0" fontId="27" fillId="0" borderId="0" xfId="0" applyFont="1" applyAlignment="1">
      <alignment horizontal="center" vertical="center" wrapText="1"/>
    </xf>
    <xf numFmtId="181" fontId="26" fillId="0" borderId="115" xfId="0" applyNumberFormat="1" applyFont="1" applyBorder="1" applyAlignment="1">
      <alignment horizontal="center" vertical="center" wrapText="1"/>
    </xf>
    <xf numFmtId="181" fontId="26" fillId="0" borderId="116" xfId="0" applyNumberFormat="1" applyFont="1" applyBorder="1" applyAlignment="1">
      <alignment horizontal="center" vertical="center" wrapText="1"/>
    </xf>
    <xf numFmtId="0" fontId="27" fillId="27" borderId="115" xfId="0" applyFont="1" applyFill="1" applyBorder="1" applyAlignment="1">
      <alignment horizontal="center" vertical="center" wrapText="1"/>
    </xf>
    <xf numFmtId="0" fontId="27" fillId="27" borderId="116" xfId="0" applyFont="1" applyFill="1" applyBorder="1" applyAlignment="1">
      <alignment horizontal="center" vertical="center" wrapText="1"/>
    </xf>
    <xf numFmtId="181" fontId="27" fillId="0" borderId="120" xfId="0" applyNumberFormat="1" applyFont="1" applyBorder="1" applyAlignment="1">
      <alignment horizontal="left" vertical="top" wrapText="1"/>
    </xf>
    <xf numFmtId="181" fontId="27" fillId="0" borderId="114" xfId="0" applyNumberFormat="1" applyFont="1" applyBorder="1" applyAlignment="1">
      <alignment horizontal="center" vertical="center" wrapText="1"/>
    </xf>
    <xf numFmtId="181" fontId="27" fillId="0" borderId="114" xfId="0" applyNumberFormat="1" applyFont="1" applyBorder="1" applyAlignment="1">
      <alignment horizontal="right" vertical="top" wrapText="1"/>
    </xf>
    <xf numFmtId="181" fontId="27" fillId="0" borderId="121" xfId="0" applyNumberFormat="1" applyFont="1" applyBorder="1" applyAlignment="1">
      <alignment horizontal="right" vertical="top" wrapText="1"/>
    </xf>
    <xf numFmtId="0" fontId="27" fillId="0" borderId="120" xfId="0" applyFont="1" applyBorder="1" applyAlignment="1">
      <alignment vertical="center" wrapText="1"/>
    </xf>
    <xf numFmtId="0" fontId="27" fillId="0" borderId="114" xfId="0" applyFont="1" applyBorder="1" applyAlignment="1">
      <alignment horizontal="center" vertical="center" wrapText="1"/>
    </xf>
    <xf numFmtId="0" fontId="27" fillId="0" borderId="114" xfId="0" applyFont="1" applyBorder="1" applyAlignment="1">
      <alignment horizontal="right" wrapText="1"/>
    </xf>
    <xf numFmtId="0" fontId="27" fillId="0" borderId="121" xfId="0" applyFont="1" applyBorder="1" applyAlignment="1">
      <alignment horizontal="right" wrapText="1"/>
    </xf>
    <xf numFmtId="3" fontId="27" fillId="0" borderId="121" xfId="0" applyNumberFormat="1" applyFont="1" applyBorder="1" applyAlignment="1">
      <alignment horizontal="right" vertical="top" wrapText="1"/>
    </xf>
    <xf numFmtId="3" fontId="27" fillId="0" borderId="114" xfId="0" applyNumberFormat="1" applyFont="1" applyBorder="1" applyAlignment="1">
      <alignment horizontal="right" wrapText="1"/>
    </xf>
    <xf numFmtId="3" fontId="27" fillId="0" borderId="121" xfId="0" applyNumberFormat="1" applyFont="1" applyBorder="1" applyAlignment="1">
      <alignment horizontal="right" wrapText="1"/>
    </xf>
    <xf numFmtId="0" fontId="27" fillId="0" borderId="121" xfId="0" applyFont="1" applyBorder="1" applyAlignment="1">
      <alignment horizontal="right" vertical="top" wrapText="1"/>
    </xf>
    <xf numFmtId="0" fontId="27" fillId="0" borderId="122" xfId="0" applyFont="1" applyBorder="1" applyAlignment="1">
      <alignment vertical="center" wrapText="1"/>
    </xf>
    <xf numFmtId="0" fontId="27" fillId="0" borderId="123" xfId="0" applyFont="1" applyBorder="1" applyAlignment="1">
      <alignment horizontal="center" vertical="center" wrapText="1"/>
    </xf>
    <xf numFmtId="0" fontId="27" fillId="0" borderId="123" xfId="0" applyFont="1" applyBorder="1" applyAlignment="1">
      <alignment horizontal="right" wrapText="1"/>
    </xf>
    <xf numFmtId="3" fontId="27" fillId="0" borderId="123" xfId="0" applyNumberFormat="1" applyFont="1" applyBorder="1" applyAlignment="1">
      <alignment horizontal="right" wrapText="1"/>
    </xf>
    <xf numFmtId="3" fontId="27" fillId="0" borderId="124" xfId="0" applyNumberFormat="1" applyFont="1" applyBorder="1" applyAlignment="1">
      <alignment horizontal="right" wrapText="1"/>
    </xf>
    <xf numFmtId="181" fontId="27" fillId="0" borderId="122" xfId="0" applyNumberFormat="1" applyFont="1" applyBorder="1" applyAlignment="1">
      <alignment horizontal="left" vertical="top" wrapText="1"/>
    </xf>
    <xf numFmtId="181" fontId="27" fillId="0" borderId="123" xfId="0" applyNumberFormat="1" applyFont="1" applyBorder="1" applyAlignment="1">
      <alignment horizontal="center" vertical="center" wrapText="1"/>
    </xf>
    <xf numFmtId="181" fontId="27" fillId="0" borderId="123" xfId="0" applyNumberFormat="1" applyFont="1" applyBorder="1" applyAlignment="1">
      <alignment horizontal="right" vertical="top" wrapText="1"/>
    </xf>
    <xf numFmtId="181" fontId="27" fillId="0" borderId="0" xfId="0" applyNumberFormat="1" applyFont="1" applyFill="1" applyBorder="1" applyAlignment="1">
      <alignment vertical="center" wrapText="1"/>
    </xf>
    <xf numFmtId="181" fontId="27" fillId="0" borderId="62" xfId="0" applyNumberFormat="1" applyFont="1" applyFill="1" applyBorder="1" applyAlignment="1">
      <alignment vertical="center" wrapText="1"/>
    </xf>
    <xf numFmtId="179" fontId="41" fillId="14" borderId="86" xfId="5" applyNumberFormat="1" applyFont="1" applyFill="1" applyBorder="1" applyAlignment="1" applyProtection="1">
      <alignment vertical="center"/>
    </xf>
    <xf numFmtId="0" fontId="41" fillId="14" borderId="86" xfId="5" applyFont="1" applyFill="1" applyBorder="1" applyAlignment="1" applyProtection="1">
      <alignment vertical="center"/>
    </xf>
    <xf numFmtId="176" fontId="4" fillId="2" borderId="103" xfId="0" applyNumberFormat="1" applyFont="1" applyFill="1" applyBorder="1" applyAlignment="1">
      <alignment vertical="center"/>
    </xf>
    <xf numFmtId="176" fontId="5" fillId="2" borderId="103" xfId="0" applyNumberFormat="1" applyFont="1" applyFill="1" applyBorder="1" applyAlignment="1">
      <alignment vertical="center"/>
    </xf>
    <xf numFmtId="176" fontId="4" fillId="0" borderId="104" xfId="0" applyNumberFormat="1" applyFont="1" applyFill="1" applyBorder="1" applyAlignment="1">
      <alignment vertical="center"/>
    </xf>
    <xf numFmtId="176" fontId="19" fillId="5" borderId="0" xfId="0" applyNumberFormat="1" applyFont="1" applyFill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42" fillId="5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vertical="center"/>
    </xf>
    <xf numFmtId="178" fontId="19" fillId="5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right" vertical="center"/>
    </xf>
    <xf numFmtId="176" fontId="14" fillId="3" borderId="0" xfId="0" applyNumberFormat="1" applyFont="1" applyFill="1" applyAlignment="1">
      <alignment horizontal="center" vertical="center"/>
    </xf>
    <xf numFmtId="0" fontId="43" fillId="28" borderId="137" xfId="0" applyFont="1" applyFill="1" applyBorder="1" applyAlignment="1">
      <alignment horizontal="center" vertical="top" wrapText="1"/>
    </xf>
    <xf numFmtId="0" fontId="43" fillId="28" borderId="138" xfId="0" applyFont="1" applyFill="1" applyBorder="1" applyAlignment="1">
      <alignment horizontal="center" vertical="top" wrapText="1"/>
    </xf>
    <xf numFmtId="0" fontId="40" fillId="28" borderId="131" xfId="0" applyFont="1" applyFill="1" applyBorder="1" applyAlignment="1">
      <alignment vertical="top" wrapText="1"/>
    </xf>
    <xf numFmtId="3" fontId="40" fillId="28" borderId="138" xfId="0" applyNumberFormat="1" applyFont="1" applyFill="1" applyBorder="1" applyAlignment="1">
      <alignment horizontal="right" vertical="top" wrapText="1"/>
    </xf>
    <xf numFmtId="3" fontId="40" fillId="28" borderId="137" xfId="0" applyNumberFormat="1" applyFont="1" applyFill="1" applyBorder="1" applyAlignment="1">
      <alignment horizontal="right" vertical="top" wrapText="1"/>
    </xf>
    <xf numFmtId="0" fontId="40" fillId="28" borderId="138" xfId="0" applyFont="1" applyFill="1" applyBorder="1" applyAlignment="1">
      <alignment horizontal="right" vertical="top" wrapText="1"/>
    </xf>
    <xf numFmtId="0" fontId="40" fillId="28" borderId="137" xfId="0" applyFont="1" applyFill="1" applyBorder="1" applyAlignment="1">
      <alignment horizontal="right" vertical="top" wrapText="1"/>
    </xf>
    <xf numFmtId="0" fontId="40" fillId="28" borderId="131" xfId="0" applyFont="1" applyFill="1" applyBorder="1" applyAlignment="1">
      <alignment vertical="center" wrapText="1"/>
    </xf>
    <xf numFmtId="3" fontId="40" fillId="29" borderId="138" xfId="0" applyNumberFormat="1" applyFont="1" applyFill="1" applyBorder="1" applyAlignment="1">
      <alignment horizontal="right" vertical="top" wrapText="1"/>
    </xf>
    <xf numFmtId="0" fontId="40" fillId="29" borderId="138" xfId="0" applyFont="1" applyFill="1" applyBorder="1" applyAlignment="1">
      <alignment horizontal="right" vertical="top" wrapText="1"/>
    </xf>
    <xf numFmtId="0" fontId="40" fillId="28" borderId="139" xfId="0" applyFont="1" applyFill="1" applyBorder="1" applyAlignment="1">
      <alignment horizontal="center" vertical="center" wrapText="1"/>
    </xf>
    <xf numFmtId="3" fontId="40" fillId="28" borderId="140" xfId="0" applyNumberFormat="1" applyFont="1" applyFill="1" applyBorder="1" applyAlignment="1">
      <alignment horizontal="right" vertical="top" wrapText="1"/>
    </xf>
    <xf numFmtId="3" fontId="40" fillId="28" borderId="141" xfId="0" applyNumberFormat="1" applyFont="1" applyFill="1" applyBorder="1" applyAlignment="1">
      <alignment horizontal="right" vertical="top" wrapText="1"/>
    </xf>
    <xf numFmtId="176" fontId="4" fillId="30" borderId="0" xfId="0" applyNumberFormat="1" applyFont="1" applyFill="1" applyAlignment="1">
      <alignment horizontal="left" vertical="center"/>
    </xf>
    <xf numFmtId="176" fontId="4" fillId="30" borderId="0" xfId="0" applyNumberFormat="1" applyFont="1" applyFill="1" applyAlignment="1">
      <alignment horizontal="right" vertical="center"/>
    </xf>
    <xf numFmtId="176" fontId="4" fillId="30" borderId="0" xfId="0" applyNumberFormat="1" applyFont="1" applyFill="1" applyAlignment="1">
      <alignment vertical="center"/>
    </xf>
    <xf numFmtId="0" fontId="6" fillId="31" borderId="1" xfId="0" applyNumberFormat="1" applyFont="1" applyFill="1" applyBorder="1" applyAlignment="1">
      <alignment horizontal="center" vertical="center"/>
    </xf>
    <xf numFmtId="177" fontId="4" fillId="32" borderId="0" xfId="1" applyNumberFormat="1" applyFont="1" applyFill="1" applyBorder="1" applyAlignment="1">
      <alignment vertical="center"/>
    </xf>
    <xf numFmtId="177" fontId="4" fillId="32" borderId="0" xfId="1" applyNumberFormat="1" applyFont="1" applyFill="1" applyAlignment="1">
      <alignment vertical="center"/>
    </xf>
    <xf numFmtId="176" fontId="45" fillId="0" borderId="0" xfId="0" applyNumberFormat="1" applyFont="1" applyAlignment="1">
      <alignment vertical="center"/>
    </xf>
    <xf numFmtId="0" fontId="46" fillId="13" borderId="0" xfId="0" applyFont="1" applyFill="1" applyAlignment="1" applyProtection="1">
      <alignment horizontal="center" vertical="center" wrapText="1"/>
    </xf>
    <xf numFmtId="176" fontId="4" fillId="23" borderId="0" xfId="0" applyNumberFormat="1" applyFont="1" applyFill="1" applyAlignment="1">
      <alignment vertical="center"/>
    </xf>
    <xf numFmtId="0" fontId="6" fillId="10" borderId="0" xfId="0" applyFont="1" applyFill="1" applyBorder="1" applyAlignment="1">
      <alignment horizontal="center" vertical="center"/>
    </xf>
    <xf numFmtId="176" fontId="16" fillId="15" borderId="0" xfId="0" applyNumberFormat="1" applyFont="1" applyFill="1" applyBorder="1" applyAlignment="1">
      <alignment horizontal="right" vertical="center"/>
    </xf>
    <xf numFmtId="0" fontId="16" fillId="19" borderId="59" xfId="0" applyNumberFormat="1" applyFont="1" applyFill="1" applyBorder="1" applyAlignment="1">
      <alignment horizontal="center" vertical="center"/>
    </xf>
    <xf numFmtId="176" fontId="16" fillId="19" borderId="0" xfId="0" applyNumberFormat="1" applyFont="1" applyFill="1" applyBorder="1" applyAlignment="1">
      <alignment vertical="center"/>
    </xf>
    <xf numFmtId="176" fontId="16" fillId="19" borderId="60" xfId="0" applyNumberFormat="1" applyFont="1" applyFill="1" applyBorder="1" applyAlignment="1">
      <alignment vertical="center"/>
    </xf>
    <xf numFmtId="176" fontId="15" fillId="19" borderId="59" xfId="0" applyNumberFormat="1" applyFont="1" applyFill="1" applyBorder="1" applyAlignment="1">
      <alignment vertical="center"/>
    </xf>
    <xf numFmtId="176" fontId="4" fillId="19" borderId="60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186" fontId="36" fillId="0" borderId="113" xfId="0" applyNumberFormat="1" applyFont="1" applyBorder="1" applyAlignment="1">
      <alignment vertical="center"/>
    </xf>
    <xf numFmtId="176" fontId="5" fillId="32" borderId="113" xfId="0" applyNumberFormat="1" applyFont="1" applyFill="1" applyBorder="1" applyAlignment="1">
      <alignment horizontal="center" vertical="center"/>
    </xf>
    <xf numFmtId="176" fontId="4" fillId="32" borderId="0" xfId="0" applyNumberFormat="1" applyFont="1" applyFill="1" applyAlignment="1">
      <alignment vertical="center"/>
    </xf>
    <xf numFmtId="176" fontId="4" fillId="23" borderId="23" xfId="0" applyNumberFormat="1" applyFont="1" applyFill="1" applyBorder="1" applyAlignment="1">
      <alignment vertical="center"/>
    </xf>
    <xf numFmtId="176" fontId="4" fillId="23" borderId="42" xfId="0" applyNumberFormat="1" applyFont="1" applyFill="1" applyBorder="1" applyAlignment="1">
      <alignment vertical="center"/>
    </xf>
    <xf numFmtId="179" fontId="44" fillId="14" borderId="86" xfId="5" applyNumberFormat="1" applyFont="1" applyFill="1" applyBorder="1" applyAlignment="1" applyProtection="1">
      <alignment vertical="center"/>
    </xf>
    <xf numFmtId="179" fontId="44" fillId="14" borderId="86" xfId="5" applyNumberFormat="1" applyFont="1" applyFill="1" applyBorder="1" applyAlignment="1" applyProtection="1">
      <alignment vertical="center"/>
    </xf>
    <xf numFmtId="176" fontId="48" fillId="0" borderId="0" xfId="0" applyNumberFormat="1" applyFont="1" applyBorder="1" applyAlignment="1">
      <alignment vertical="center"/>
    </xf>
    <xf numFmtId="0" fontId="48" fillId="0" borderId="0" xfId="0" applyFont="1" applyAlignment="1">
      <alignment vertical="center"/>
    </xf>
    <xf numFmtId="14" fontId="6" fillId="7" borderId="29" xfId="0" applyNumberFormat="1" applyFont="1" applyFill="1" applyBorder="1" applyAlignment="1">
      <alignment horizontal="center" vertical="center"/>
    </xf>
    <xf numFmtId="41" fontId="4" fillId="0" borderId="0" xfId="1" applyFont="1" applyBorder="1" applyAlignment="1">
      <alignment vertical="center"/>
    </xf>
    <xf numFmtId="41" fontId="4" fillId="0" borderId="0" xfId="0" applyNumberFormat="1" applyFont="1" applyBorder="1" applyAlignment="1">
      <alignment vertical="center"/>
    </xf>
    <xf numFmtId="41" fontId="4" fillId="0" borderId="33" xfId="1" applyFont="1" applyBorder="1" applyAlignment="1">
      <alignment vertical="center"/>
    </xf>
    <xf numFmtId="176" fontId="50" fillId="30" borderId="113" xfId="0" applyNumberFormat="1" applyFont="1" applyFill="1" applyBorder="1" applyAlignment="1">
      <alignment horizontal="center" vertical="center"/>
    </xf>
    <xf numFmtId="176" fontId="51" fillId="30" borderId="113" xfId="0" applyNumberFormat="1" applyFont="1" applyFill="1" applyBorder="1" applyAlignment="1">
      <alignment horizontal="center" vertical="center"/>
    </xf>
    <xf numFmtId="0" fontId="49" fillId="0" borderId="113" xfId="0" applyFont="1" applyBorder="1"/>
    <xf numFmtId="176" fontId="5" fillId="0" borderId="113" xfId="0" applyNumberFormat="1" applyFont="1" applyBorder="1" applyAlignment="1">
      <alignment horizontal="center" vertical="center"/>
    </xf>
    <xf numFmtId="0" fontId="4" fillId="30" borderId="1" xfId="0" applyFont="1" applyFill="1" applyBorder="1" applyAlignment="1">
      <alignment vertical="center"/>
    </xf>
    <xf numFmtId="0" fontId="4" fillId="30" borderId="0" xfId="0" applyFont="1" applyFill="1" applyBorder="1" applyAlignment="1">
      <alignment vertical="center"/>
    </xf>
    <xf numFmtId="41" fontId="4" fillId="30" borderId="142" xfId="1" applyFont="1" applyFill="1" applyBorder="1" applyAlignment="1">
      <alignment vertical="center"/>
    </xf>
    <xf numFmtId="187" fontId="4" fillId="9" borderId="0" xfId="0" applyNumberFormat="1" applyFont="1" applyFill="1" applyBorder="1" applyAlignment="1">
      <alignment vertical="center"/>
    </xf>
    <xf numFmtId="179" fontId="44" fillId="9" borderId="143" xfId="5" applyNumberFormat="1" applyFont="1" applyFill="1" applyBorder="1" applyAlignment="1" applyProtection="1">
      <alignment vertical="center"/>
    </xf>
    <xf numFmtId="0" fontId="52" fillId="13" borderId="0" xfId="5" applyFont="1" applyFill="1" applyAlignment="1" applyProtection="1">
      <alignment horizontal="center" vertical="center" wrapText="1"/>
    </xf>
    <xf numFmtId="0" fontId="44" fillId="14" borderId="143" xfId="5" applyFont="1" applyFill="1" applyBorder="1" applyAlignment="1" applyProtection="1">
      <alignment vertical="center"/>
    </xf>
    <xf numFmtId="179" fontId="44" fillId="14" borderId="143" xfId="5" applyNumberFormat="1" applyFont="1" applyFill="1" applyBorder="1" applyAlignment="1" applyProtection="1">
      <alignment vertical="center"/>
    </xf>
    <xf numFmtId="179" fontId="44" fillId="9" borderId="86" xfId="5" applyNumberFormat="1" applyFont="1" applyFill="1" applyBorder="1" applyAlignment="1" applyProtection="1">
      <alignment vertical="center"/>
    </xf>
    <xf numFmtId="179" fontId="44" fillId="23" borderId="143" xfId="5" applyNumberFormat="1" applyFont="1" applyFill="1" applyBorder="1" applyAlignment="1" applyProtection="1">
      <alignment vertical="center"/>
    </xf>
    <xf numFmtId="0" fontId="36" fillId="0" borderId="113" xfId="5" applyFont="1" applyBorder="1"/>
    <xf numFmtId="0" fontId="36" fillId="33" borderId="113" xfId="5" applyFont="1" applyFill="1" applyBorder="1"/>
    <xf numFmtId="176" fontId="4" fillId="23" borderId="103" xfId="0" applyNumberFormat="1" applyFont="1" applyFill="1" applyBorder="1" applyAlignment="1">
      <alignment vertical="center"/>
    </xf>
    <xf numFmtId="176" fontId="4" fillId="9" borderId="23" xfId="0" applyNumberFormat="1" applyFont="1" applyFill="1" applyBorder="1" applyAlignment="1">
      <alignment vertical="center"/>
    </xf>
    <xf numFmtId="176" fontId="4" fillId="9" borderId="42" xfId="0" applyNumberFormat="1" applyFont="1" applyFill="1" applyBorder="1" applyAlignment="1">
      <alignment vertical="center"/>
    </xf>
    <xf numFmtId="181" fontId="4" fillId="0" borderId="144" xfId="0" applyNumberFormat="1" applyFont="1" applyBorder="1" applyAlignment="1">
      <alignment horizontal="center" vertical="center"/>
    </xf>
    <xf numFmtId="181" fontId="4" fillId="0" borderId="10" xfId="0" applyNumberFormat="1" applyFont="1" applyBorder="1" applyAlignment="1">
      <alignment vertical="center"/>
    </xf>
    <xf numFmtId="181" fontId="4" fillId="0" borderId="41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181" fontId="27" fillId="0" borderId="0" xfId="0" applyNumberFormat="1" applyFont="1" applyBorder="1" applyAlignment="1">
      <alignment horizontal="right" vertical="center" wrapText="1"/>
    </xf>
    <xf numFmtId="179" fontId="44" fillId="14" borderId="143" xfId="117" applyNumberFormat="1" applyFont="1" applyFill="1" applyBorder="1" applyAlignment="1" applyProtection="1">
      <alignment vertical="center"/>
    </xf>
    <xf numFmtId="176" fontId="4" fillId="9" borderId="105" xfId="0" applyNumberFormat="1" applyFont="1" applyFill="1" applyBorder="1" applyAlignment="1">
      <alignment vertical="center"/>
    </xf>
    <xf numFmtId="176" fontId="28" fillId="9" borderId="106" xfId="0" applyNumberFormat="1" applyFont="1" applyFill="1" applyBorder="1" applyAlignment="1">
      <alignment vertical="center"/>
    </xf>
    <xf numFmtId="181" fontId="4" fillId="0" borderId="0" xfId="0" applyNumberFormat="1" applyFont="1" applyAlignment="1">
      <alignment horizontal="right" vertical="center"/>
    </xf>
    <xf numFmtId="181" fontId="16" fillId="0" borderId="0" xfId="0" applyNumberFormat="1" applyFont="1" applyBorder="1" applyAlignment="1">
      <alignment horizontal="right" vertical="center"/>
    </xf>
    <xf numFmtId="176" fontId="4" fillId="9" borderId="103" xfId="0" applyNumberFormat="1" applyFont="1" applyFill="1" applyBorder="1" applyAlignment="1">
      <alignment vertical="center"/>
    </xf>
    <xf numFmtId="186" fontId="55" fillId="0" borderId="145" xfId="1" applyNumberFormat="1" applyFont="1" applyFill="1" applyBorder="1" applyAlignment="1">
      <alignment vertical="center"/>
    </xf>
    <xf numFmtId="186" fontId="56" fillId="0" borderId="0" xfId="0" applyNumberFormat="1" applyFont="1" applyAlignment="1">
      <alignment vertical="center"/>
    </xf>
    <xf numFmtId="3" fontId="40" fillId="0" borderId="146" xfId="0" applyNumberFormat="1" applyFont="1" applyBorder="1" applyAlignment="1">
      <alignment horizontal="right" vertical="top" wrapText="1"/>
    </xf>
    <xf numFmtId="181" fontId="40" fillId="0" borderId="147" xfId="0" applyNumberFormat="1" applyFont="1" applyBorder="1" applyAlignment="1">
      <alignment horizontal="right" vertical="top" wrapText="1"/>
    </xf>
    <xf numFmtId="0" fontId="6" fillId="10" borderId="0" xfId="0" applyFont="1" applyFill="1" applyBorder="1" applyAlignment="1">
      <alignment horizontal="center" vertical="center"/>
    </xf>
    <xf numFmtId="181" fontId="26" fillId="0" borderId="117" xfId="0" applyNumberFormat="1" applyFont="1" applyBorder="1" applyAlignment="1">
      <alignment horizontal="center" vertical="center" wrapText="1"/>
    </xf>
    <xf numFmtId="181" fontId="26" fillId="0" borderId="118" xfId="0" applyNumberFormat="1" applyFont="1" applyBorder="1" applyAlignment="1">
      <alignment horizontal="center" vertical="center" wrapText="1"/>
    </xf>
    <xf numFmtId="181" fontId="26" fillId="0" borderId="119" xfId="0" applyNumberFormat="1" applyFont="1" applyBorder="1" applyAlignment="1">
      <alignment horizontal="center" vertical="center" wrapText="1"/>
    </xf>
    <xf numFmtId="0" fontId="27" fillId="27" borderId="117" xfId="0" applyFont="1" applyFill="1" applyBorder="1" applyAlignment="1">
      <alignment horizontal="center" vertical="center" wrapText="1"/>
    </xf>
    <xf numFmtId="0" fontId="27" fillId="27" borderId="118" xfId="0" applyFont="1" applyFill="1" applyBorder="1" applyAlignment="1">
      <alignment horizontal="center" vertical="center" wrapText="1"/>
    </xf>
    <xf numFmtId="0" fontId="27" fillId="27" borderId="117" xfId="0" applyFont="1" applyFill="1" applyBorder="1" applyAlignment="1">
      <alignment horizontal="center" wrapText="1"/>
    </xf>
    <xf numFmtId="0" fontId="27" fillId="27" borderId="119" xfId="0" applyFont="1" applyFill="1" applyBorder="1" applyAlignment="1">
      <alignment horizontal="center" wrapText="1"/>
    </xf>
    <xf numFmtId="0" fontId="6" fillId="5" borderId="82" xfId="0" applyFont="1" applyFill="1" applyBorder="1" applyAlignment="1">
      <alignment horizontal="center" vertical="center"/>
    </xf>
    <xf numFmtId="0" fontId="6" fillId="5" borderId="84" xfId="0" applyFont="1" applyFill="1" applyBorder="1" applyAlignment="1">
      <alignment horizontal="center" vertical="center"/>
    </xf>
    <xf numFmtId="181" fontId="40" fillId="27" borderId="117" xfId="0" applyNumberFormat="1" applyFont="1" applyFill="1" applyBorder="1" applyAlignment="1">
      <alignment horizontal="center" vertical="center" wrapText="1"/>
    </xf>
    <xf numFmtId="181" fontId="40" fillId="27" borderId="118" xfId="0" applyNumberFormat="1" applyFont="1" applyFill="1" applyBorder="1" applyAlignment="1">
      <alignment horizontal="center" vertical="center" wrapText="1"/>
    </xf>
    <xf numFmtId="181" fontId="40" fillId="27" borderId="119" xfId="0" applyNumberFormat="1" applyFont="1" applyFill="1" applyBorder="1" applyAlignment="1">
      <alignment horizontal="center" vertical="center" wrapText="1"/>
    </xf>
    <xf numFmtId="181" fontId="40" fillId="0" borderId="126" xfId="0" applyNumberFormat="1" applyFont="1" applyBorder="1" applyAlignment="1">
      <alignment vertical="center" wrapText="1"/>
    </xf>
    <xf numFmtId="181" fontId="40" fillId="0" borderId="125" xfId="0" applyNumberFormat="1" applyFont="1" applyBorder="1" applyAlignment="1">
      <alignment vertical="center" wrapText="1"/>
    </xf>
    <xf numFmtId="181" fontId="40" fillId="0" borderId="127" xfId="0" applyNumberFormat="1" applyFont="1" applyBorder="1" applyAlignment="1">
      <alignment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181" fontId="40" fillId="27" borderId="129" xfId="0" applyNumberFormat="1" applyFont="1" applyFill="1" applyBorder="1" applyAlignment="1">
      <alignment horizontal="center" vertical="center" wrapText="1"/>
    </xf>
    <xf numFmtId="181" fontId="40" fillId="27" borderId="131" xfId="0" applyNumberFormat="1" applyFont="1" applyFill="1" applyBorder="1" applyAlignment="1">
      <alignment horizontal="center" vertical="center" wrapText="1"/>
    </xf>
    <xf numFmtId="181" fontId="40" fillId="27" borderId="130" xfId="0" applyNumberFormat="1" applyFont="1" applyFill="1" applyBorder="1" applyAlignment="1">
      <alignment horizontal="center" vertical="center" wrapText="1"/>
    </xf>
    <xf numFmtId="181" fontId="40" fillId="27" borderId="128" xfId="0" applyNumberFormat="1" applyFont="1" applyFill="1" applyBorder="1" applyAlignment="1">
      <alignment horizontal="center" vertical="center" wrapText="1"/>
    </xf>
    <xf numFmtId="176" fontId="6" fillId="5" borderId="46" xfId="0" applyNumberFormat="1" applyFont="1" applyFill="1" applyBorder="1" applyAlignment="1">
      <alignment horizontal="center" vertical="center"/>
    </xf>
    <xf numFmtId="176" fontId="6" fillId="5" borderId="48" xfId="0" applyNumberFormat="1" applyFont="1" applyFill="1" applyBorder="1" applyAlignment="1">
      <alignment horizontal="center" vertical="center"/>
    </xf>
    <xf numFmtId="176" fontId="6" fillId="5" borderId="47" xfId="0" applyNumberFormat="1" applyFont="1" applyFill="1" applyBorder="1" applyAlignment="1">
      <alignment horizontal="center" vertical="center"/>
    </xf>
    <xf numFmtId="176" fontId="6" fillId="5" borderId="49" xfId="0" applyNumberFormat="1" applyFont="1" applyFill="1" applyBorder="1" applyAlignment="1">
      <alignment horizontal="center" vertical="center"/>
    </xf>
    <xf numFmtId="176" fontId="6" fillId="5" borderId="85" xfId="0" applyNumberFormat="1" applyFont="1" applyFill="1" applyBorder="1" applyAlignment="1">
      <alignment horizontal="center" vertical="center"/>
    </xf>
    <xf numFmtId="176" fontId="6" fillId="5" borderId="90" xfId="0" applyNumberFormat="1" applyFont="1" applyFill="1" applyBorder="1" applyAlignment="1">
      <alignment horizontal="center" vertical="center"/>
    </xf>
    <xf numFmtId="176" fontId="13" fillId="5" borderId="73" xfId="0" applyNumberFormat="1" applyFont="1" applyFill="1" applyBorder="1" applyAlignment="1">
      <alignment horizontal="center" vertical="center"/>
    </xf>
    <xf numFmtId="176" fontId="13" fillId="5" borderId="74" xfId="0" applyNumberFormat="1" applyFont="1" applyFill="1" applyBorder="1" applyAlignment="1">
      <alignment horizontal="center" vertical="center"/>
    </xf>
    <xf numFmtId="176" fontId="13" fillId="5" borderId="75" xfId="0" applyNumberFormat="1" applyFont="1" applyFill="1" applyBorder="1" applyAlignment="1">
      <alignment horizontal="center" vertical="center"/>
    </xf>
    <xf numFmtId="176" fontId="23" fillId="0" borderId="19" xfId="0" applyNumberFormat="1" applyFont="1" applyBorder="1" applyAlignment="1">
      <alignment horizontal="center" vertical="center" wrapText="1"/>
    </xf>
    <xf numFmtId="176" fontId="23" fillId="0" borderId="32" xfId="0" applyNumberFormat="1" applyFont="1" applyBorder="1" applyAlignment="1">
      <alignment horizontal="center" vertical="center" wrapText="1"/>
    </xf>
    <xf numFmtId="176" fontId="21" fillId="0" borderId="35" xfId="0" applyNumberFormat="1" applyFont="1" applyBorder="1" applyAlignment="1">
      <alignment horizontal="center" vertical="center"/>
    </xf>
    <xf numFmtId="176" fontId="21" fillId="0" borderId="36" xfId="0" applyNumberFormat="1" applyFont="1" applyBorder="1" applyAlignment="1">
      <alignment horizontal="center" vertical="center"/>
    </xf>
    <xf numFmtId="176" fontId="23" fillId="0" borderId="30" xfId="0" applyNumberFormat="1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/>
    </xf>
    <xf numFmtId="176" fontId="23" fillId="0" borderId="36" xfId="0" applyNumberFormat="1" applyFont="1" applyBorder="1" applyAlignment="1">
      <alignment horizontal="center" vertical="center"/>
    </xf>
    <xf numFmtId="14" fontId="6" fillId="7" borderId="27" xfId="0" applyNumberFormat="1" applyFont="1" applyFill="1" applyBorder="1" applyAlignment="1">
      <alignment horizontal="center" vertical="center"/>
    </xf>
    <xf numFmtId="14" fontId="6" fillId="7" borderId="28" xfId="0" applyNumberFormat="1" applyFont="1" applyFill="1" applyBorder="1" applyAlignment="1">
      <alignment horizontal="center" vertical="center"/>
    </xf>
    <xf numFmtId="14" fontId="6" fillId="7" borderId="29" xfId="0" applyNumberFormat="1" applyFont="1" applyFill="1" applyBorder="1" applyAlignment="1">
      <alignment horizontal="center" vertical="center"/>
    </xf>
    <xf numFmtId="176" fontId="6" fillId="5" borderId="0" xfId="0" applyNumberFormat="1" applyFont="1" applyFill="1" applyAlignment="1">
      <alignment horizontal="center" vertical="center"/>
    </xf>
    <xf numFmtId="0" fontId="43" fillId="28" borderId="132" xfId="0" applyFont="1" applyFill="1" applyBorder="1" applyAlignment="1">
      <alignment horizontal="right" vertical="top" wrapText="1"/>
    </xf>
    <xf numFmtId="0" fontId="43" fillId="28" borderId="133" xfId="0" applyFont="1" applyFill="1" applyBorder="1" applyAlignment="1">
      <alignment horizontal="right" vertical="top" wrapText="1"/>
    </xf>
    <xf numFmtId="0" fontId="43" fillId="28" borderId="119" xfId="0" applyFont="1" applyFill="1" applyBorder="1" applyAlignment="1">
      <alignment horizontal="right" vertical="top" wrapText="1"/>
    </xf>
    <xf numFmtId="0" fontId="43" fillId="28" borderId="134" xfId="0" applyFont="1" applyFill="1" applyBorder="1" applyAlignment="1">
      <alignment horizontal="center" vertical="center" wrapText="1"/>
    </xf>
    <xf numFmtId="0" fontId="43" fillId="28" borderId="131" xfId="0" applyFont="1" applyFill="1" applyBorder="1" applyAlignment="1">
      <alignment horizontal="center" vertical="center" wrapText="1"/>
    </xf>
    <xf numFmtId="0" fontId="43" fillId="28" borderId="135" xfId="0" applyFont="1" applyFill="1" applyBorder="1" applyAlignment="1">
      <alignment horizontal="center" vertical="top" wrapText="1"/>
    </xf>
    <xf numFmtId="0" fontId="43" fillId="28" borderId="125" xfId="0" applyFont="1" applyFill="1" applyBorder="1" applyAlignment="1">
      <alignment horizontal="center" vertical="top" wrapText="1"/>
    </xf>
    <xf numFmtId="0" fontId="43" fillId="28" borderId="136" xfId="0" applyFont="1" applyFill="1" applyBorder="1" applyAlignment="1">
      <alignment horizontal="center" vertical="top" wrapText="1"/>
    </xf>
    <xf numFmtId="176" fontId="25" fillId="5" borderId="0" xfId="0" applyNumberFormat="1" applyFont="1" applyFill="1" applyAlignment="1">
      <alignment horizontal="center" vertical="center"/>
    </xf>
    <xf numFmtId="176" fontId="6" fillId="5" borderId="0" xfId="0" applyNumberFormat="1" applyFont="1" applyFill="1" applyBorder="1" applyAlignment="1">
      <alignment horizontal="center" vertical="center"/>
    </xf>
    <xf numFmtId="176" fontId="6" fillId="5" borderId="38" xfId="0" applyNumberFormat="1" applyFont="1" applyFill="1" applyBorder="1" applyAlignment="1">
      <alignment horizontal="center" vertical="center"/>
    </xf>
    <xf numFmtId="176" fontId="6" fillId="5" borderId="41" xfId="0" applyNumberFormat="1" applyFont="1" applyFill="1" applyBorder="1" applyAlignment="1">
      <alignment horizontal="center" vertical="center"/>
    </xf>
    <xf numFmtId="176" fontId="6" fillId="5" borderId="39" xfId="0" applyNumberFormat="1" applyFont="1" applyFill="1" applyBorder="1" applyAlignment="1">
      <alignment horizontal="center" vertical="center"/>
    </xf>
    <xf numFmtId="176" fontId="6" fillId="5" borderId="40" xfId="0" applyNumberFormat="1" applyFont="1" applyFill="1" applyBorder="1" applyAlignment="1">
      <alignment horizontal="center" vertical="center"/>
    </xf>
    <xf numFmtId="176" fontId="6" fillId="5" borderId="42" xfId="0" applyNumberFormat="1" applyFont="1" applyFill="1" applyBorder="1" applyAlignment="1">
      <alignment horizontal="center" vertical="center"/>
    </xf>
    <xf numFmtId="176" fontId="6" fillId="5" borderId="56" xfId="0" applyNumberFormat="1" applyFont="1" applyFill="1" applyBorder="1" applyAlignment="1">
      <alignment horizontal="center" vertical="center"/>
    </xf>
    <xf numFmtId="176" fontId="6" fillId="5" borderId="59" xfId="0" applyNumberFormat="1" applyFont="1" applyFill="1" applyBorder="1" applyAlignment="1">
      <alignment horizontal="center" vertical="center"/>
    </xf>
    <xf numFmtId="176" fontId="6" fillId="5" borderId="57" xfId="0" applyNumberFormat="1" applyFont="1" applyFill="1" applyBorder="1" applyAlignment="1">
      <alignment horizontal="center" vertical="center"/>
    </xf>
    <xf numFmtId="176" fontId="6" fillId="5" borderId="82" xfId="0" applyNumberFormat="1" applyFont="1" applyFill="1" applyBorder="1" applyAlignment="1">
      <alignment horizontal="center" vertical="center"/>
    </xf>
    <xf numFmtId="176" fontId="6" fillId="5" borderId="83" xfId="0" applyNumberFormat="1" applyFont="1" applyFill="1" applyBorder="1" applyAlignment="1">
      <alignment horizontal="center" vertical="center"/>
    </xf>
    <xf numFmtId="176" fontId="6" fillId="5" borderId="84" xfId="0" applyNumberFormat="1" applyFont="1" applyFill="1" applyBorder="1" applyAlignment="1">
      <alignment horizontal="center" vertical="center"/>
    </xf>
  </cellXfs>
  <cellStyles count="118">
    <cellStyle name="_x0002_._x0011__x0002_._x001b__x0002_ _x0015_%_x0018__x0001_" xfId="10" xr:uid="{00000000-0005-0000-0000-000000000000}"/>
    <cellStyle name="백분율" xfId="2" builtinId="5"/>
    <cellStyle name="백분율 2" xfId="13" xr:uid="{00000000-0005-0000-0000-000002000000}"/>
    <cellStyle name="백분율 2 2" xfId="71" xr:uid="{00000000-0005-0000-0000-000003000000}"/>
    <cellStyle name="백분율 3" xfId="65" xr:uid="{00000000-0005-0000-0000-000004000000}"/>
    <cellStyle name="쉼표 [0]" xfId="1" builtinId="6"/>
    <cellStyle name="쉼표 [0] 2" xfId="9" xr:uid="{00000000-0005-0000-0000-000006000000}"/>
    <cellStyle name="쉼표 [0] 2 2" xfId="57" xr:uid="{00000000-0005-0000-0000-000007000000}"/>
    <cellStyle name="쉼표 [0] 2 2 2" xfId="112" xr:uid="{00000000-0005-0000-0000-000008000000}"/>
    <cellStyle name="쉼표 [0] 2 3" xfId="70" xr:uid="{00000000-0005-0000-0000-000009000000}"/>
    <cellStyle name="쉼표 [0] 3" xfId="16" xr:uid="{00000000-0005-0000-0000-00000A000000}"/>
    <cellStyle name="쉼표 [0] 3 2" xfId="59" xr:uid="{00000000-0005-0000-0000-00000B000000}"/>
    <cellStyle name="쉼표 [0] 3 2 2" xfId="113" xr:uid="{00000000-0005-0000-0000-00000C000000}"/>
    <cellStyle name="쉼표 [0] 3 3" xfId="73" xr:uid="{00000000-0005-0000-0000-00000D000000}"/>
    <cellStyle name="쉼표 [0] 4" xfId="55" xr:uid="{00000000-0005-0000-0000-00000E000000}"/>
    <cellStyle name="쉼표 [0] 4 2" xfId="61" xr:uid="{00000000-0005-0000-0000-00000F000000}"/>
    <cellStyle name="쉼표 [0] 4 2 2" xfId="114" xr:uid="{00000000-0005-0000-0000-000010000000}"/>
    <cellStyle name="쉼표 [0] 4 3" xfId="110" xr:uid="{00000000-0005-0000-0000-000011000000}"/>
    <cellStyle name="쉼표 [0] 5" xfId="56" xr:uid="{00000000-0005-0000-0000-000012000000}"/>
    <cellStyle name="쉼표 [0] 5 2" xfId="111" xr:uid="{00000000-0005-0000-0000-000013000000}"/>
    <cellStyle name="쉼표 [0] 6" xfId="7" xr:uid="{00000000-0005-0000-0000-000014000000}"/>
    <cellStyle name="쉼표 [0] 6 2" xfId="68" xr:uid="{00000000-0005-0000-0000-000015000000}"/>
    <cellStyle name="쉼표 [0] 7" xfId="64" xr:uid="{00000000-0005-0000-0000-000016000000}"/>
    <cellStyle name="표준" xfId="0" builtinId="0"/>
    <cellStyle name="표준 10" xfId="21" xr:uid="{00000000-0005-0000-0000-000018000000}"/>
    <cellStyle name="표준 10 2" xfId="78" xr:uid="{00000000-0005-0000-0000-000019000000}"/>
    <cellStyle name="표준 11" xfId="22" xr:uid="{00000000-0005-0000-0000-00001A000000}"/>
    <cellStyle name="표준 11 2" xfId="79" xr:uid="{00000000-0005-0000-0000-00001B000000}"/>
    <cellStyle name="표준 12" xfId="23" xr:uid="{00000000-0005-0000-0000-00001C000000}"/>
    <cellStyle name="표준 12 2" xfId="80" xr:uid="{00000000-0005-0000-0000-00001D000000}"/>
    <cellStyle name="표준 13" xfId="24" xr:uid="{00000000-0005-0000-0000-00001E000000}"/>
    <cellStyle name="표준 13 2" xfId="81" xr:uid="{00000000-0005-0000-0000-00001F000000}"/>
    <cellStyle name="표준 14" xfId="25" xr:uid="{00000000-0005-0000-0000-000020000000}"/>
    <cellStyle name="표준 14 2" xfId="82" xr:uid="{00000000-0005-0000-0000-000021000000}"/>
    <cellStyle name="표준 15" xfId="26" xr:uid="{00000000-0005-0000-0000-000022000000}"/>
    <cellStyle name="표준 15 2" xfId="83" xr:uid="{00000000-0005-0000-0000-000023000000}"/>
    <cellStyle name="표준 16" xfId="27" xr:uid="{00000000-0005-0000-0000-000024000000}"/>
    <cellStyle name="표준 16 2" xfId="84" xr:uid="{00000000-0005-0000-0000-000025000000}"/>
    <cellStyle name="표준 17" xfId="28" xr:uid="{00000000-0005-0000-0000-000026000000}"/>
    <cellStyle name="표준 17 2" xfId="85" xr:uid="{00000000-0005-0000-0000-000027000000}"/>
    <cellStyle name="표준 18" xfId="29" xr:uid="{00000000-0005-0000-0000-000028000000}"/>
    <cellStyle name="표준 18 2" xfId="86" xr:uid="{00000000-0005-0000-0000-000029000000}"/>
    <cellStyle name="표준 19" xfId="30" xr:uid="{00000000-0005-0000-0000-00002A000000}"/>
    <cellStyle name="표준 19 2" xfId="87" xr:uid="{00000000-0005-0000-0000-00002B000000}"/>
    <cellStyle name="표준 2" xfId="5" xr:uid="{00000000-0005-0000-0000-00002C000000}"/>
    <cellStyle name="표준 2 100" xfId="116" xr:uid="{00000000-0005-0000-0000-00002D000000}"/>
    <cellStyle name="표준 2 2" xfId="11" xr:uid="{00000000-0005-0000-0000-00002E000000}"/>
    <cellStyle name="표준 2 3" xfId="8" xr:uid="{00000000-0005-0000-0000-00002F000000}"/>
    <cellStyle name="표준 2 3 2" xfId="69" xr:uid="{00000000-0005-0000-0000-000030000000}"/>
    <cellStyle name="표준 20" xfId="31" xr:uid="{00000000-0005-0000-0000-000031000000}"/>
    <cellStyle name="표준 20 2" xfId="88" xr:uid="{00000000-0005-0000-0000-000032000000}"/>
    <cellStyle name="표준 21" xfId="32" xr:uid="{00000000-0005-0000-0000-000033000000}"/>
    <cellStyle name="표준 21 2" xfId="89" xr:uid="{00000000-0005-0000-0000-000034000000}"/>
    <cellStyle name="표준 22" xfId="33" xr:uid="{00000000-0005-0000-0000-000035000000}"/>
    <cellStyle name="표준 22 2" xfId="90" xr:uid="{00000000-0005-0000-0000-000036000000}"/>
    <cellStyle name="표준 23" xfId="34" xr:uid="{00000000-0005-0000-0000-000037000000}"/>
    <cellStyle name="표준 23 2" xfId="91" xr:uid="{00000000-0005-0000-0000-000038000000}"/>
    <cellStyle name="표준 24" xfId="35" xr:uid="{00000000-0005-0000-0000-000039000000}"/>
    <cellStyle name="표준 24 2" xfId="92" xr:uid="{00000000-0005-0000-0000-00003A000000}"/>
    <cellStyle name="표준 25" xfId="36" xr:uid="{00000000-0005-0000-0000-00003B000000}"/>
    <cellStyle name="표준 25 2" xfId="93" xr:uid="{00000000-0005-0000-0000-00003C000000}"/>
    <cellStyle name="표준 26" xfId="37" xr:uid="{00000000-0005-0000-0000-00003D000000}"/>
    <cellStyle name="표준 26 2" xfId="94" xr:uid="{00000000-0005-0000-0000-00003E000000}"/>
    <cellStyle name="표준 27" xfId="38" xr:uid="{00000000-0005-0000-0000-00003F000000}"/>
    <cellStyle name="표준 27 2" xfId="95" xr:uid="{00000000-0005-0000-0000-000040000000}"/>
    <cellStyle name="표준 28" xfId="39" xr:uid="{00000000-0005-0000-0000-000041000000}"/>
    <cellStyle name="표준 28 2" xfId="96" xr:uid="{00000000-0005-0000-0000-000042000000}"/>
    <cellStyle name="표준 29" xfId="40" xr:uid="{00000000-0005-0000-0000-000043000000}"/>
    <cellStyle name="표준 29 2" xfId="97" xr:uid="{00000000-0005-0000-0000-000044000000}"/>
    <cellStyle name="표준 3" xfId="3" xr:uid="{00000000-0005-0000-0000-000045000000}"/>
    <cellStyle name="표준 3 2" xfId="12" xr:uid="{00000000-0005-0000-0000-000046000000}"/>
    <cellStyle name="표준 3 3" xfId="66" xr:uid="{00000000-0005-0000-0000-000047000000}"/>
    <cellStyle name="표준 30" xfId="41" xr:uid="{00000000-0005-0000-0000-000048000000}"/>
    <cellStyle name="표준 30 2" xfId="98" xr:uid="{00000000-0005-0000-0000-000049000000}"/>
    <cellStyle name="표준 31" xfId="42" xr:uid="{00000000-0005-0000-0000-00004A000000}"/>
    <cellStyle name="표준 31 2" xfId="99" xr:uid="{00000000-0005-0000-0000-00004B000000}"/>
    <cellStyle name="표준 32" xfId="43" xr:uid="{00000000-0005-0000-0000-00004C000000}"/>
    <cellStyle name="표준 32 2" xfId="100" xr:uid="{00000000-0005-0000-0000-00004D000000}"/>
    <cellStyle name="표준 33" xfId="44" xr:uid="{00000000-0005-0000-0000-00004E000000}"/>
    <cellStyle name="표준 33 2" xfId="101" xr:uid="{00000000-0005-0000-0000-00004F000000}"/>
    <cellStyle name="표준 34" xfId="45" xr:uid="{00000000-0005-0000-0000-000050000000}"/>
    <cellStyle name="표준 34 2" xfId="102" xr:uid="{00000000-0005-0000-0000-000051000000}"/>
    <cellStyle name="표준 35" xfId="46" xr:uid="{00000000-0005-0000-0000-000052000000}"/>
    <cellStyle name="표준 35 2" xfId="103" xr:uid="{00000000-0005-0000-0000-000053000000}"/>
    <cellStyle name="표준 36" xfId="47" xr:uid="{00000000-0005-0000-0000-000054000000}"/>
    <cellStyle name="표준 36 2" xfId="104" xr:uid="{00000000-0005-0000-0000-000055000000}"/>
    <cellStyle name="표준 37" xfId="48" xr:uid="{00000000-0005-0000-0000-000056000000}"/>
    <cellStyle name="표준 37 2" xfId="105" xr:uid="{00000000-0005-0000-0000-000057000000}"/>
    <cellStyle name="표준 38" xfId="49" xr:uid="{00000000-0005-0000-0000-000058000000}"/>
    <cellStyle name="표준 38 2" xfId="106" xr:uid="{00000000-0005-0000-0000-000059000000}"/>
    <cellStyle name="표준 39" xfId="50" xr:uid="{00000000-0005-0000-0000-00005A000000}"/>
    <cellStyle name="표준 39 2" xfId="107" xr:uid="{00000000-0005-0000-0000-00005B000000}"/>
    <cellStyle name="표준 4" xfId="14" xr:uid="{00000000-0005-0000-0000-00005C000000}"/>
    <cellStyle name="표준 4 2" xfId="58" xr:uid="{00000000-0005-0000-0000-00005D000000}"/>
    <cellStyle name="표준 40" xfId="51" xr:uid="{00000000-0005-0000-0000-00005E000000}"/>
    <cellStyle name="표준 40 2" xfId="108" xr:uid="{00000000-0005-0000-0000-00005F000000}"/>
    <cellStyle name="표준 41" xfId="52" xr:uid="{00000000-0005-0000-0000-000060000000}"/>
    <cellStyle name="표준 41 2" xfId="109" xr:uid="{00000000-0005-0000-0000-000061000000}"/>
    <cellStyle name="표준 42" xfId="53" xr:uid="{00000000-0005-0000-0000-000062000000}"/>
    <cellStyle name="표준 43" xfId="54" xr:uid="{00000000-0005-0000-0000-000063000000}"/>
    <cellStyle name="표준 43 2" xfId="60" xr:uid="{00000000-0005-0000-0000-000064000000}"/>
    <cellStyle name="표준 44" xfId="6" xr:uid="{00000000-0005-0000-0000-000065000000}"/>
    <cellStyle name="표준 44 2" xfId="67" xr:uid="{00000000-0005-0000-0000-000066000000}"/>
    <cellStyle name="표준 45" xfId="62" xr:uid="{00000000-0005-0000-0000-000067000000}"/>
    <cellStyle name="표준 46" xfId="63" xr:uid="{00000000-0005-0000-0000-000068000000}"/>
    <cellStyle name="표준 47" xfId="115" xr:uid="{00000000-0005-0000-0000-000069000000}"/>
    <cellStyle name="표준 48" xfId="117" xr:uid="{00000000-0005-0000-0000-00006A000000}"/>
    <cellStyle name="표준 5" xfId="15" xr:uid="{00000000-0005-0000-0000-00006B000000}"/>
    <cellStyle name="표준 5 2" xfId="72" xr:uid="{00000000-0005-0000-0000-00006C000000}"/>
    <cellStyle name="표준 6" xfId="17" xr:uid="{00000000-0005-0000-0000-00006D000000}"/>
    <cellStyle name="표준 6 2" xfId="74" xr:uid="{00000000-0005-0000-0000-00006E000000}"/>
    <cellStyle name="표준 7" xfId="18" xr:uid="{00000000-0005-0000-0000-00006F000000}"/>
    <cellStyle name="표준 7 2" xfId="75" xr:uid="{00000000-0005-0000-0000-000070000000}"/>
    <cellStyle name="표준 8" xfId="19" xr:uid="{00000000-0005-0000-0000-000071000000}"/>
    <cellStyle name="표준 8 2" xfId="76" xr:uid="{00000000-0005-0000-0000-000072000000}"/>
    <cellStyle name="표준 8 4" xfId="4" xr:uid="{00000000-0005-0000-0000-000073000000}"/>
    <cellStyle name="표준 9" xfId="20" xr:uid="{00000000-0005-0000-0000-000074000000}"/>
    <cellStyle name="표준 9 2" xfId="77" xr:uid="{00000000-0005-0000-0000-000075000000}"/>
  </cellStyles>
  <dxfs count="0"/>
  <tableStyles count="0" defaultTableStyle="TableStyleMedium2" defaultPivotStyle="PivotStyleLight16"/>
  <colors>
    <mruColors>
      <color rgb="FF223055"/>
      <color rgb="FF001530"/>
      <color rgb="FFF0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.MATTHEW\01.&#54924;&#44228;\01.&#44208;&#49328;&#51088;&#47308;\FY2020\3&#50900;\&#50672;&#44208;\&#51088;&#54924;&#49324;&#51221;&#49328;&#54364;\ENT_FY2020%203&#50900;%20&#51221;&#49328;&#54364;_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정세부"/>
      <sheetName val="조정전표"/>
      <sheetName val="INDEX"/>
      <sheetName val="BS_INPUT"/>
      <sheetName val="IS_INPUT"/>
      <sheetName val="T_CF"/>
      <sheetName val="CFS"/>
      <sheetName val="유형자산"/>
      <sheetName val="무형자산"/>
      <sheetName val="사용권자산"/>
      <sheetName val="리스부채"/>
      <sheetName val="종업원급여"/>
      <sheetName val="보증금"/>
      <sheetName val="외화환산"/>
      <sheetName val="대여금 및 차입금"/>
      <sheetName val="채권연령"/>
      <sheetName val="비용의성격별분류"/>
      <sheetName val="Sheet1"/>
      <sheetName val="특수관계자거래"/>
      <sheetName val="drop"/>
      <sheetName val="IS_LOCAL"/>
      <sheetName val="IS_KRW"/>
      <sheetName val="BS_LOCAL"/>
      <sheetName val="BS_KRW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VALIDATION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3:F15"/>
  <sheetViews>
    <sheetView showGridLines="0" zoomScale="80" zoomScaleNormal="80" workbookViewId="0">
      <selection activeCell="F17" sqref="F17"/>
    </sheetView>
  </sheetViews>
  <sheetFormatPr defaultColWidth="8.75" defaultRowHeight="18" customHeight="1"/>
  <cols>
    <col min="1" max="3" width="2.375" style="3" customWidth="1"/>
    <col min="4" max="22" width="20.375" style="3" customWidth="1"/>
    <col min="23" max="16384" width="8.75" style="3"/>
  </cols>
  <sheetData>
    <row r="3" spans="4:6" s="2" customFormat="1" ht="18" customHeight="1">
      <c r="D3" s="2" t="s">
        <v>15</v>
      </c>
      <c r="E3" s="1"/>
    </row>
    <row r="4" spans="4:6" s="2" customFormat="1" ht="18" customHeight="1">
      <c r="D4" s="2" t="s">
        <v>2002</v>
      </c>
      <c r="E4" s="1"/>
    </row>
    <row r="5" spans="4:6" s="2" customFormat="1" ht="18" customHeight="1" thickBot="1">
      <c r="D5" s="3"/>
      <c r="E5" s="24"/>
      <c r="F5" s="3"/>
    </row>
    <row r="6" spans="4:6" ht="18" customHeight="1">
      <c r="D6" s="157" t="s">
        <v>2003</v>
      </c>
      <c r="E6" s="158">
        <v>44104</v>
      </c>
    </row>
    <row r="7" spans="4:6" ht="18" customHeight="1">
      <c r="D7" s="159" t="s">
        <v>581</v>
      </c>
      <c r="E7" s="160" t="s">
        <v>15</v>
      </c>
      <c r="F7" s="2"/>
    </row>
    <row r="8" spans="4:6" ht="18" customHeight="1" thickBot="1">
      <c r="D8" s="161" t="s">
        <v>2004</v>
      </c>
      <c r="E8" s="162" t="s">
        <v>474</v>
      </c>
    </row>
    <row r="13" spans="4:6" ht="18" customHeight="1">
      <c r="D13" s="3" t="s">
        <v>1999</v>
      </c>
    </row>
    <row r="14" spans="4:6" ht="18" customHeight="1">
      <c r="D14" s="155" t="s">
        <v>2000</v>
      </c>
    </row>
    <row r="15" spans="4:6" ht="18" customHeight="1">
      <c r="D15" s="156" t="s">
        <v>2001</v>
      </c>
    </row>
  </sheetData>
  <phoneticPr fontId="2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'C:\00.MATTHEW\01.회계\01.결산자료\FY2020\3월\연결\자회사정산표\[ENT_FY2020 3월 정산표_V2.0.xlsx]drop'!#REF!</xm:f>
          </x14:formula1>
          <xm:sqref>E7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tabColor rgb="FFFFC000"/>
  </sheetPr>
  <dimension ref="D3:W54"/>
  <sheetViews>
    <sheetView showGridLines="0" zoomScale="80" zoomScaleNormal="80" workbookViewId="0">
      <selection activeCell="K32" sqref="K32"/>
    </sheetView>
  </sheetViews>
  <sheetFormatPr defaultColWidth="9" defaultRowHeight="18" customHeight="1"/>
  <cols>
    <col min="1" max="3" width="2.375" style="6" customWidth="1"/>
    <col min="4" max="4" width="24.875" style="6" customWidth="1"/>
    <col min="5" max="5" width="44.125" style="6" bestFit="1" customWidth="1"/>
    <col min="6" max="8" width="24.875" style="6" customWidth="1"/>
    <col min="9" max="9" width="9" style="6"/>
    <col min="10" max="10" width="15" style="6" bestFit="1" customWidth="1"/>
    <col min="11" max="11" width="11.875" style="6" bestFit="1" customWidth="1"/>
    <col min="12" max="12" width="9" style="6"/>
    <col min="13" max="13" width="12.375" style="6" bestFit="1" customWidth="1"/>
    <col min="14" max="14" width="32" style="6" bestFit="1" customWidth="1"/>
    <col min="15" max="15" width="8" style="6" bestFit="1" customWidth="1"/>
    <col min="16" max="16" width="16.25" style="6" bestFit="1" customWidth="1"/>
    <col min="17" max="17" width="16.5" style="6" bestFit="1" customWidth="1"/>
    <col min="18" max="18" width="16.625" style="6" bestFit="1" customWidth="1"/>
    <col min="19" max="19" width="16.75" style="6" bestFit="1" customWidth="1"/>
    <col min="20" max="20" width="11.625" style="6" bestFit="1" customWidth="1"/>
    <col min="21" max="16384" width="9" style="6"/>
  </cols>
  <sheetData>
    <row r="3" spans="4:23" ht="18" customHeight="1" thickBot="1">
      <c r="G3" s="40"/>
      <c r="H3" s="40"/>
    </row>
    <row r="4" spans="4:23" ht="22.5" customHeight="1">
      <c r="D4" s="901" t="s">
        <v>1713</v>
      </c>
      <c r="E4" s="903" t="s">
        <v>1530</v>
      </c>
      <c r="F4" s="903" t="s">
        <v>1750</v>
      </c>
      <c r="G4" s="274"/>
      <c r="H4" s="275"/>
      <c r="J4" s="276"/>
      <c r="K4" s="276"/>
      <c r="N4" s="905" t="s">
        <v>2108</v>
      </c>
      <c r="O4" s="907" t="s">
        <v>1750</v>
      </c>
      <c r="P4" s="895" t="s">
        <v>2127</v>
      </c>
      <c r="Q4" s="896"/>
      <c r="R4" s="895" t="s">
        <v>2128</v>
      </c>
      <c r="S4" s="897"/>
    </row>
    <row r="5" spans="4:23" ht="18" customHeight="1">
      <c r="D5" s="902"/>
      <c r="E5" s="904"/>
      <c r="F5" s="904"/>
      <c r="G5" s="277" t="s">
        <v>2266</v>
      </c>
      <c r="H5" s="278" t="s">
        <v>2267</v>
      </c>
      <c r="J5" s="276"/>
      <c r="K5" s="276"/>
      <c r="N5" s="906"/>
      <c r="O5" s="908"/>
      <c r="P5" s="739" t="s">
        <v>2109</v>
      </c>
      <c r="Q5" s="739" t="s">
        <v>2110</v>
      </c>
      <c r="R5" s="739" t="s">
        <v>2109</v>
      </c>
      <c r="S5" s="740" t="s">
        <v>2110</v>
      </c>
    </row>
    <row r="6" spans="4:23" ht="18" customHeight="1">
      <c r="D6" s="279" t="s">
        <v>228</v>
      </c>
      <c r="E6" s="280" t="s">
        <v>1751</v>
      </c>
      <c r="F6" s="281" t="s">
        <v>1752</v>
      </c>
      <c r="G6" s="282">
        <f>SUMIF(T_IS!$E:$E,'IS(공)'!D6,T_IS!$W:$W)</f>
        <v>226329072223</v>
      </c>
      <c r="H6" s="283">
        <v>196961162684</v>
      </c>
      <c r="J6" s="284"/>
      <c r="K6" s="276"/>
      <c r="N6" s="741" t="s">
        <v>1751</v>
      </c>
      <c r="O6" s="733" t="s">
        <v>2111</v>
      </c>
      <c r="P6" s="734">
        <v>57026655290</v>
      </c>
      <c r="Q6" s="734">
        <f t="shared" ref="Q6:Q14" si="0">G6</f>
        <v>226329072223</v>
      </c>
      <c r="R6" s="734">
        <v>42746410986</v>
      </c>
      <c r="S6" s="735">
        <f>H6</f>
        <v>196961162684</v>
      </c>
    </row>
    <row r="7" spans="4:23" ht="18" customHeight="1">
      <c r="D7" s="279" t="s">
        <v>238</v>
      </c>
      <c r="E7" s="280" t="s">
        <v>1753</v>
      </c>
      <c r="F7" s="281" t="s">
        <v>1754</v>
      </c>
      <c r="G7" s="282">
        <f>SUMIF(T_IS!$E:$E,'IS(공)'!D7,T_IS!$W:$W)</f>
        <v>181205387327</v>
      </c>
      <c r="H7" s="283">
        <v>166303131717</v>
      </c>
      <c r="J7" s="276"/>
      <c r="K7" s="276"/>
      <c r="N7" s="741" t="s">
        <v>1753</v>
      </c>
      <c r="O7" s="733" t="s">
        <v>2112</v>
      </c>
      <c r="P7" s="734">
        <v>46402760654</v>
      </c>
      <c r="Q7" s="734">
        <f t="shared" si="0"/>
        <v>181205387327</v>
      </c>
      <c r="R7" s="734">
        <v>39070787001</v>
      </c>
      <c r="S7" s="735">
        <f t="shared" ref="S7:S14" si="1">H7</f>
        <v>166303131717</v>
      </c>
    </row>
    <row r="8" spans="4:23" ht="18" customHeight="1">
      <c r="D8" s="285"/>
      <c r="E8" s="31" t="s">
        <v>1755</v>
      </c>
      <c r="F8" s="286"/>
      <c r="G8" s="287">
        <f>G6-G7</f>
        <v>45123684896</v>
      </c>
      <c r="H8" s="288">
        <f>H6-H7</f>
        <v>30658030967</v>
      </c>
      <c r="J8" s="276" t="b">
        <f>G8=(G6-G7)</f>
        <v>1</v>
      </c>
      <c r="K8" s="276" t="b">
        <f>H8=(H6-H7)</f>
        <v>1</v>
      </c>
      <c r="N8" s="741" t="s">
        <v>1755</v>
      </c>
      <c r="O8" s="733"/>
      <c r="P8" s="734">
        <v>10623894636</v>
      </c>
      <c r="Q8" s="734">
        <f t="shared" si="0"/>
        <v>45123684896</v>
      </c>
      <c r="R8" s="734">
        <v>3675623985</v>
      </c>
      <c r="S8" s="735">
        <f t="shared" si="1"/>
        <v>30658030967</v>
      </c>
      <c r="T8" s="6" t="b">
        <f>P8=P6-P7</f>
        <v>1</v>
      </c>
      <c r="U8" s="6" t="b">
        <f>Q8=Q6-Q7</f>
        <v>1</v>
      </c>
      <c r="V8" s="6" t="b">
        <f>R8=R6-R7</f>
        <v>1</v>
      </c>
      <c r="W8" s="6" t="b">
        <f>S8=S6-S7</f>
        <v>1</v>
      </c>
    </row>
    <row r="9" spans="4:23" ht="18" customHeight="1">
      <c r="D9" s="279" t="s">
        <v>258</v>
      </c>
      <c r="E9" s="280" t="s">
        <v>1756</v>
      </c>
      <c r="F9" s="281">
        <v>18</v>
      </c>
      <c r="G9" s="282">
        <f>SUMIF(T_IS!$E:$E,'IS(공)'!D9,T_IS!$W:$W)</f>
        <v>57012606885</v>
      </c>
      <c r="H9" s="283">
        <v>57401502102</v>
      </c>
      <c r="J9" s="883"/>
      <c r="K9" s="884"/>
      <c r="N9" s="741" t="s">
        <v>2113</v>
      </c>
      <c r="O9" s="733" t="s">
        <v>2114</v>
      </c>
      <c r="P9" s="734">
        <v>14592791746</v>
      </c>
      <c r="Q9" s="734">
        <f t="shared" si="0"/>
        <v>57012606885</v>
      </c>
      <c r="R9" s="734">
        <v>14307283805</v>
      </c>
      <c r="S9" s="735">
        <f t="shared" si="1"/>
        <v>57401502102</v>
      </c>
    </row>
    <row r="10" spans="4:23" ht="18" customHeight="1">
      <c r="D10" s="285"/>
      <c r="E10" s="31" t="s">
        <v>1757</v>
      </c>
      <c r="F10" s="286"/>
      <c r="G10" s="287">
        <f>G8-G9</f>
        <v>-11888921989</v>
      </c>
      <c r="H10" s="288">
        <f>H8-H9</f>
        <v>-26743471135</v>
      </c>
      <c r="J10" s="276" t="b">
        <f>G10=(G8-G9)</f>
        <v>1</v>
      </c>
      <c r="K10" s="276" t="b">
        <f>H10=(H8-H9)</f>
        <v>1</v>
      </c>
      <c r="N10" s="741" t="s">
        <v>1757</v>
      </c>
      <c r="O10" s="733"/>
      <c r="P10" s="734">
        <v>-3968897110</v>
      </c>
      <c r="Q10" s="734">
        <f t="shared" si="0"/>
        <v>-11888921989</v>
      </c>
      <c r="R10" s="734">
        <v>-10631659820</v>
      </c>
      <c r="S10" s="735">
        <f t="shared" si="1"/>
        <v>-26743471135</v>
      </c>
      <c r="T10" s="6" t="b">
        <f>P10=P8-P9</f>
        <v>1</v>
      </c>
      <c r="U10" s="6" t="b">
        <f>Q10=Q8-Q9</f>
        <v>1</v>
      </c>
      <c r="V10" s="6" t="b">
        <f>R10=R8-R9</f>
        <v>1</v>
      </c>
      <c r="W10" s="6" t="b">
        <f>S10=S8-S9</f>
        <v>1</v>
      </c>
    </row>
    <row r="11" spans="4:23" ht="18" customHeight="1">
      <c r="D11" s="279" t="s">
        <v>314</v>
      </c>
      <c r="E11" s="280" t="s">
        <v>1758</v>
      </c>
      <c r="F11" s="281">
        <v>5</v>
      </c>
      <c r="G11" s="282">
        <f>SUMIF(T_IS!$E:$E,'IS(공)'!D11,T_IS!$W:$W)</f>
        <v>1036386899</v>
      </c>
      <c r="H11" s="283">
        <v>2405455321</v>
      </c>
      <c r="J11" s="276"/>
      <c r="K11" s="276"/>
      <c r="N11" s="741" t="s">
        <v>2115</v>
      </c>
      <c r="O11" s="733" t="s">
        <v>1752</v>
      </c>
      <c r="P11" s="734">
        <v>-340633729</v>
      </c>
      <c r="Q11" s="734">
        <f t="shared" si="0"/>
        <v>1036386899</v>
      </c>
      <c r="R11" s="734">
        <v>741611941</v>
      </c>
      <c r="S11" s="735">
        <f t="shared" si="1"/>
        <v>2405455321</v>
      </c>
    </row>
    <row r="12" spans="4:23" ht="18" customHeight="1">
      <c r="D12" s="279" t="s">
        <v>333</v>
      </c>
      <c r="E12" s="280" t="s">
        <v>1759</v>
      </c>
      <c r="F12" s="281" t="s">
        <v>1760</v>
      </c>
      <c r="G12" s="282">
        <f>SUMIF(T_IS!$E:$E,'IS(공)'!D12,T_IS!$W:$W)</f>
        <v>3900339065</v>
      </c>
      <c r="H12" s="283">
        <v>1138181134</v>
      </c>
      <c r="J12" s="276"/>
      <c r="K12" s="276"/>
      <c r="N12" s="741" t="s">
        <v>2116</v>
      </c>
      <c r="O12" s="733" t="s">
        <v>1752</v>
      </c>
      <c r="P12" s="734">
        <v>74282931</v>
      </c>
      <c r="Q12" s="734">
        <f t="shared" si="0"/>
        <v>3900339065</v>
      </c>
      <c r="R12" s="734">
        <v>260982530</v>
      </c>
      <c r="S12" s="735">
        <f t="shared" si="1"/>
        <v>1138181134</v>
      </c>
    </row>
    <row r="13" spans="4:23" ht="18" customHeight="1">
      <c r="D13" s="279" t="s">
        <v>354</v>
      </c>
      <c r="E13" s="280" t="s">
        <v>1761</v>
      </c>
      <c r="F13" s="281">
        <v>19</v>
      </c>
      <c r="G13" s="282">
        <f>SUMIF(T_IS!$E:$E,'IS(공)'!D13,T_IS!$W:$W)</f>
        <v>199414285</v>
      </c>
      <c r="H13" s="283">
        <v>371361570</v>
      </c>
      <c r="J13" s="276"/>
      <c r="K13" s="276"/>
      <c r="N13" s="741" t="s">
        <v>2117</v>
      </c>
      <c r="O13" s="733">
        <v>19</v>
      </c>
      <c r="P13" s="734">
        <v>67554568</v>
      </c>
      <c r="Q13" s="734">
        <f t="shared" si="0"/>
        <v>199414285</v>
      </c>
      <c r="R13" s="734">
        <v>49339951</v>
      </c>
      <c r="S13" s="735">
        <f t="shared" si="1"/>
        <v>371361570</v>
      </c>
    </row>
    <row r="14" spans="4:23" ht="18" customHeight="1">
      <c r="D14" s="279" t="s">
        <v>1762</v>
      </c>
      <c r="E14" s="280" t="s">
        <v>1763</v>
      </c>
      <c r="F14" s="281">
        <v>19</v>
      </c>
      <c r="G14" s="282">
        <f>SUMIF(T_IS!$E:$E,'IS(공)'!D14,T_IS!$W:$W)</f>
        <v>10494735626</v>
      </c>
      <c r="H14" s="283">
        <v>22031806775</v>
      </c>
      <c r="J14" s="276"/>
      <c r="K14" s="276"/>
      <c r="N14" s="741" t="s">
        <v>2118</v>
      </c>
      <c r="O14" s="733">
        <v>19</v>
      </c>
      <c r="P14" s="734">
        <v>167856250</v>
      </c>
      <c r="Q14" s="734">
        <f t="shared" si="0"/>
        <v>10494735626</v>
      </c>
      <c r="R14" s="734">
        <v>1125365654</v>
      </c>
      <c r="S14" s="735">
        <f t="shared" si="1"/>
        <v>22031806775</v>
      </c>
    </row>
    <row r="15" spans="4:23" ht="18" customHeight="1">
      <c r="D15" s="289" t="s">
        <v>1902</v>
      </c>
      <c r="E15" s="280" t="s">
        <v>1903</v>
      </c>
      <c r="F15" s="281">
        <v>8</v>
      </c>
      <c r="G15" s="282">
        <f>SUMIF(T_IS!$E:$E,'IS(공)'!D15,T_IS!$W:$W)</f>
        <v>0</v>
      </c>
      <c r="H15" s="283">
        <v>-798641919</v>
      </c>
      <c r="J15" s="276"/>
      <c r="K15" s="276"/>
      <c r="N15" s="741" t="s">
        <v>1764</v>
      </c>
      <c r="O15" s="733"/>
      <c r="P15" s="734">
        <v>-4484115452</v>
      </c>
      <c r="Q15" s="734">
        <f>G16</f>
        <v>-25048195496</v>
      </c>
      <c r="R15" s="734">
        <v>-11227056112</v>
      </c>
      <c r="S15" s="735">
        <f>H16</f>
        <v>-47935284072</v>
      </c>
      <c r="T15" s="743" t="b">
        <f>P15=P10+P11+P13-P12-P14</f>
        <v>1</v>
      </c>
      <c r="U15" s="743" t="b">
        <f>Q15=Q10+Q11+Q13-Q12-Q14</f>
        <v>1</v>
      </c>
      <c r="V15" s="743" t="b">
        <f>R15=R10+R11+R13-R12-R14</f>
        <v>1</v>
      </c>
      <c r="W15" s="743" t="b">
        <f>S15=S10+S11+S13-S12-S14</f>
        <v>0</v>
      </c>
    </row>
    <row r="16" spans="4:23" ht="18" customHeight="1">
      <c r="D16" s="285"/>
      <c r="E16" s="31" t="s">
        <v>1764</v>
      </c>
      <c r="F16" s="286"/>
      <c r="G16" s="287">
        <f>G10+(G11-G12+G13-G14+G15)</f>
        <v>-25048195496</v>
      </c>
      <c r="H16" s="288">
        <f>H10+(H11-H12+H13-H14+H15)</f>
        <v>-47935284072</v>
      </c>
      <c r="J16" s="276" t="b">
        <f>G16=(G10+G11-G12+G13-G14+G15)</f>
        <v>1</v>
      </c>
      <c r="K16" s="276" t="b">
        <f>H16=(H10+H11-H12+H13-H14+H15)</f>
        <v>1</v>
      </c>
      <c r="L16" s="664"/>
      <c r="M16" s="743"/>
      <c r="N16" s="741" t="s">
        <v>2119</v>
      </c>
      <c r="O16" s="733">
        <v>20</v>
      </c>
      <c r="P16" s="734">
        <v>-64436630</v>
      </c>
      <c r="Q16" s="734">
        <f>G17</f>
        <v>-1980322895</v>
      </c>
      <c r="R16" s="734">
        <v>-60699531</v>
      </c>
      <c r="S16" s="735">
        <f>H17</f>
        <v>70238074</v>
      </c>
    </row>
    <row r="17" spans="4:23" ht="18" customHeight="1">
      <c r="D17" s="279" t="s">
        <v>380</v>
      </c>
      <c r="E17" s="280" t="s">
        <v>1765</v>
      </c>
      <c r="F17" s="281">
        <v>20</v>
      </c>
      <c r="G17" s="282">
        <f>SUMIF(T_IS!$E:$E,'IS(공)'!D17,T_IS!$W:$W)</f>
        <v>-1980322895</v>
      </c>
      <c r="H17" s="283">
        <v>70238074</v>
      </c>
      <c r="J17" s="276"/>
      <c r="K17" s="276"/>
      <c r="N17" s="741" t="s">
        <v>2120</v>
      </c>
      <c r="O17" s="733"/>
      <c r="P17" s="734">
        <v>-4419678822</v>
      </c>
      <c r="Q17" s="734">
        <f>G18</f>
        <v>-23067872601</v>
      </c>
      <c r="R17" s="734">
        <v>-11166356581</v>
      </c>
      <c r="S17" s="735">
        <f>H18</f>
        <v>-48005522146</v>
      </c>
      <c r="T17" s="6" t="b">
        <f>P17=P15-P16</f>
        <v>1</v>
      </c>
      <c r="U17" s="6" t="b">
        <f>Q17=Q15-Q16</f>
        <v>1</v>
      </c>
      <c r="V17" s="6" t="b">
        <f>R17=R15-R16</f>
        <v>1</v>
      </c>
      <c r="W17" s="6" t="b">
        <f>S17=S15-S16</f>
        <v>1</v>
      </c>
    </row>
    <row r="18" spans="4:23" ht="18" customHeight="1">
      <c r="D18" s="285"/>
      <c r="E18" s="31" t="s">
        <v>1904</v>
      </c>
      <c r="F18" s="286"/>
      <c r="G18" s="287">
        <f>G16-G17</f>
        <v>-23067872601</v>
      </c>
      <c r="H18" s="288">
        <f>H16-H17</f>
        <v>-48005522146</v>
      </c>
      <c r="J18" s="276" t="b">
        <f>G18=(G16-G17)</f>
        <v>1</v>
      </c>
      <c r="K18" s="276" t="b">
        <f>H18=(H16-H17)</f>
        <v>1</v>
      </c>
      <c r="N18" s="738" t="s">
        <v>2131</v>
      </c>
      <c r="O18" s="733"/>
      <c r="P18" s="734">
        <f>P17</f>
        <v>-4419678822</v>
      </c>
      <c r="Q18" s="734">
        <f>Q17</f>
        <v>-23067872601</v>
      </c>
      <c r="R18" s="734">
        <v>-11166356581</v>
      </c>
      <c r="S18" s="735">
        <f>S17</f>
        <v>-48005522146</v>
      </c>
    </row>
    <row r="19" spans="4:23" ht="18" customHeight="1">
      <c r="D19" s="279" t="s">
        <v>11</v>
      </c>
      <c r="E19" s="280" t="s">
        <v>1766</v>
      </c>
      <c r="F19" s="281"/>
      <c r="G19" s="282">
        <f>SUMIF(T_IS!$E:$E,'IS(공)'!D19,T_IS!$W:$W)</f>
        <v>-23067872601</v>
      </c>
      <c r="H19" s="283">
        <v>-48005522146</v>
      </c>
      <c r="J19" s="276"/>
      <c r="K19" s="276"/>
      <c r="N19" s="738" t="s">
        <v>2132</v>
      </c>
      <c r="O19" s="733"/>
      <c r="P19" s="734"/>
      <c r="Q19" s="734"/>
      <c r="R19" s="734"/>
      <c r="S19" s="735"/>
    </row>
    <row r="20" spans="4:23" ht="18" customHeight="1">
      <c r="D20" s="279" t="s">
        <v>210</v>
      </c>
      <c r="E20" s="280" t="s">
        <v>1767</v>
      </c>
      <c r="F20" s="281"/>
      <c r="G20" s="282">
        <f>SUMIF(T_IS!$E:$E,'IS(공)'!D20,T_IS!$W:$W)</f>
        <v>0</v>
      </c>
      <c r="H20" s="283">
        <v>0</v>
      </c>
      <c r="J20" s="276" t="b">
        <f>(G20+G19)=G18</f>
        <v>1</v>
      </c>
      <c r="K20" s="276" t="b">
        <f>(H20+H19)=H18</f>
        <v>1</v>
      </c>
      <c r="N20" s="741" t="s">
        <v>2121</v>
      </c>
      <c r="O20" s="733"/>
      <c r="P20" s="734">
        <v>-117973867</v>
      </c>
      <c r="Q20" s="734">
        <f>G21</f>
        <v>327971543</v>
      </c>
      <c r="R20" s="734">
        <v>1246189163</v>
      </c>
      <c r="S20" s="735">
        <f>H21</f>
        <v>34100739</v>
      </c>
    </row>
    <row r="21" spans="4:23" ht="13.5">
      <c r="D21" s="285"/>
      <c r="E21" s="31" t="s">
        <v>1768</v>
      </c>
      <c r="F21" s="286"/>
      <c r="G21" s="287">
        <f>SUM(G23,G25)</f>
        <v>327971543</v>
      </c>
      <c r="H21" s="288">
        <f>SUM(H23,H25)</f>
        <v>34100739</v>
      </c>
      <c r="J21" s="276" t="b">
        <f>G21=(G23+G25)</f>
        <v>1</v>
      </c>
      <c r="K21" s="276" t="b">
        <f>H21=(H23+H25)</f>
        <v>1</v>
      </c>
      <c r="N21" s="898" t="s">
        <v>2122</v>
      </c>
      <c r="O21" s="899"/>
      <c r="P21" s="899"/>
      <c r="Q21" s="899"/>
      <c r="R21" s="899"/>
      <c r="S21" s="900"/>
    </row>
    <row r="22" spans="4:23" ht="18" customHeight="1">
      <c r="D22" s="290"/>
      <c r="E22" s="34" t="s">
        <v>1769</v>
      </c>
      <c r="F22" s="291"/>
      <c r="G22" s="292"/>
      <c r="H22" s="293"/>
      <c r="J22" s="276"/>
      <c r="K22" s="276"/>
      <c r="N22" s="741" t="s">
        <v>2123</v>
      </c>
      <c r="O22" s="733">
        <v>13</v>
      </c>
      <c r="P22" s="734">
        <v>53817319</v>
      </c>
      <c r="Q22" s="734">
        <f>G23</f>
        <v>-38586066</v>
      </c>
      <c r="R22" s="734" t="s">
        <v>612</v>
      </c>
      <c r="S22" s="735">
        <f>H23</f>
        <v>-766511518</v>
      </c>
    </row>
    <row r="23" spans="4:23" ht="18" customHeight="1">
      <c r="D23" s="279"/>
      <c r="E23" s="280" t="s">
        <v>1770</v>
      </c>
      <c r="F23" s="281">
        <v>14</v>
      </c>
      <c r="G23" s="282">
        <f>T_CE!K25</f>
        <v>-38586066</v>
      </c>
      <c r="H23" s="283">
        <v>-766511518</v>
      </c>
      <c r="J23" s="276"/>
      <c r="K23" s="276"/>
      <c r="N23" s="898" t="s">
        <v>2129</v>
      </c>
      <c r="O23" s="899"/>
      <c r="P23" s="899"/>
      <c r="Q23" s="899"/>
      <c r="R23" s="899"/>
      <c r="S23" s="900"/>
      <c r="T23" s="6" t="b">
        <f>P25=P17+P20</f>
        <v>1</v>
      </c>
      <c r="U23" s="6" t="b">
        <f>Q25=Q17+Q20</f>
        <v>1</v>
      </c>
      <c r="V23" s="6" t="b">
        <f>R25=R17+R20</f>
        <v>1</v>
      </c>
      <c r="W23" s="6" t="b">
        <f>S25=S17+S20</f>
        <v>1</v>
      </c>
    </row>
    <row r="24" spans="4:23" ht="18" customHeight="1">
      <c r="D24" s="290"/>
      <c r="E24" s="34" t="s">
        <v>1771</v>
      </c>
      <c r="F24" s="291"/>
      <c r="G24" s="292"/>
      <c r="H24" s="293"/>
      <c r="J24" s="276"/>
      <c r="K24" s="276"/>
      <c r="N24" s="741" t="s">
        <v>2130</v>
      </c>
      <c r="O24" s="733"/>
      <c r="P24" s="734">
        <v>-171791186</v>
      </c>
      <c r="Q24" s="734">
        <f>G25</f>
        <v>366557609</v>
      </c>
      <c r="R24" s="734">
        <v>1246189163</v>
      </c>
      <c r="S24" s="735">
        <f>H25</f>
        <v>800612257</v>
      </c>
    </row>
    <row r="25" spans="4:23" ht="18" customHeight="1">
      <c r="D25" s="279"/>
      <c r="E25" s="280" t="s">
        <v>1699</v>
      </c>
      <c r="F25" s="281"/>
      <c r="G25" s="282">
        <f>T_CE!$K$22</f>
        <v>366557609</v>
      </c>
      <c r="H25" s="283">
        <v>800612257</v>
      </c>
      <c r="J25" s="276"/>
      <c r="K25" s="276"/>
      <c r="N25" s="741" t="s">
        <v>1772</v>
      </c>
      <c r="O25" s="733"/>
      <c r="P25" s="734">
        <v>-4537652689</v>
      </c>
      <c r="Q25" s="734">
        <f>G26</f>
        <v>-22739901058</v>
      </c>
      <c r="R25" s="734">
        <v>-9920167418</v>
      </c>
      <c r="S25" s="735">
        <f>H26</f>
        <v>-47971421407</v>
      </c>
    </row>
    <row r="26" spans="4:23" ht="18" customHeight="1">
      <c r="D26" s="285"/>
      <c r="E26" s="31" t="s">
        <v>1772</v>
      </c>
      <c r="F26" s="286"/>
      <c r="G26" s="287">
        <f>SUM(G27:G28)</f>
        <v>-22739901058</v>
      </c>
      <c r="H26" s="288">
        <f>SUM(H27:H28)</f>
        <v>-47971421407</v>
      </c>
      <c r="J26" s="276" t="b">
        <f>G26=(G18+G21)</f>
        <v>1</v>
      </c>
      <c r="K26" s="276" t="b">
        <f>H26=(H18+H21)</f>
        <v>1</v>
      </c>
      <c r="L26" s="664">
        <v>22207901058</v>
      </c>
      <c r="M26" s="743">
        <f>G26+L26</f>
        <v>-532000000</v>
      </c>
      <c r="N26" s="738" t="s">
        <v>2131</v>
      </c>
      <c r="O26" s="733"/>
      <c r="P26" s="734">
        <f>P25</f>
        <v>-4537652689</v>
      </c>
      <c r="Q26" s="734">
        <f>Q25</f>
        <v>-22739901058</v>
      </c>
      <c r="R26" s="734">
        <v>-9920167418</v>
      </c>
      <c r="S26" s="735">
        <f>S25</f>
        <v>-47971421407</v>
      </c>
    </row>
    <row r="27" spans="4:23" ht="18" customHeight="1">
      <c r="D27" s="279"/>
      <c r="E27" s="280" t="s">
        <v>1766</v>
      </c>
      <c r="F27" s="281"/>
      <c r="G27" s="282">
        <f>G19+G21</f>
        <v>-22739901058</v>
      </c>
      <c r="H27" s="283">
        <f>H18+H21</f>
        <v>-47971421407</v>
      </c>
      <c r="J27" s="276"/>
      <c r="K27" s="276"/>
      <c r="N27" s="738" t="s">
        <v>2132</v>
      </c>
      <c r="O27" s="733"/>
      <c r="P27" s="734"/>
      <c r="Q27" s="734"/>
      <c r="R27" s="734"/>
      <c r="S27" s="735"/>
    </row>
    <row r="28" spans="4:23" ht="18" customHeight="1">
      <c r="D28" s="279"/>
      <c r="E28" s="280" t="s">
        <v>1767</v>
      </c>
      <c r="F28" s="281"/>
      <c r="G28" s="282">
        <f>G20</f>
        <v>0</v>
      </c>
      <c r="H28" s="283">
        <v>0</v>
      </c>
      <c r="J28" s="276" t="b">
        <f>(G28+G27)=G26</f>
        <v>1</v>
      </c>
      <c r="K28" s="276" t="b">
        <f>(H28+H27)=H26</f>
        <v>1</v>
      </c>
      <c r="M28"/>
      <c r="N28" s="741" t="s">
        <v>2124</v>
      </c>
      <c r="O28" s="733">
        <v>21</v>
      </c>
      <c r="P28" s="734"/>
      <c r="Q28" s="734"/>
      <c r="R28" s="734"/>
      <c r="S28" s="735"/>
    </row>
    <row r="29" spans="4:23" ht="18" customHeight="1">
      <c r="D29" s="285"/>
      <c r="E29" s="31" t="s">
        <v>1773</v>
      </c>
      <c r="F29" s="286">
        <v>21</v>
      </c>
      <c r="G29" s="287"/>
      <c r="H29" s="288"/>
      <c r="J29" s="276"/>
      <c r="K29" s="276"/>
      <c r="M29"/>
      <c r="N29" s="741" t="s">
        <v>2125</v>
      </c>
      <c r="O29" s="733"/>
      <c r="P29" s="734">
        <v>-77.730441419463119</v>
      </c>
      <c r="Q29" s="734">
        <v>-78.150747057016275</v>
      </c>
      <c r="R29" s="734">
        <v>-200</v>
      </c>
      <c r="S29" s="734">
        <v>-356</v>
      </c>
    </row>
    <row r="30" spans="4:23" ht="18" customHeight="1">
      <c r="D30" s="279"/>
      <c r="E30" s="280" t="s">
        <v>1774</v>
      </c>
      <c r="F30" s="281"/>
      <c r="G30" s="790">
        <f>G18/G38</f>
        <v>-405.70276531367119</v>
      </c>
      <c r="H30" s="294">
        <v>-855.67849372420437</v>
      </c>
      <c r="J30" s="276"/>
      <c r="K30" s="276"/>
      <c r="M30"/>
      <c r="N30" s="742" t="s">
        <v>2126</v>
      </c>
      <c r="O30" s="736"/>
      <c r="P30" s="737">
        <v>-77.730441419463119</v>
      </c>
      <c r="Q30" s="737">
        <v>-78.150747057016275</v>
      </c>
      <c r="R30" s="737">
        <v>-200</v>
      </c>
      <c r="S30" s="737">
        <v>-356</v>
      </c>
    </row>
    <row r="31" spans="4:23" ht="18" customHeight="1" thickBot="1">
      <c r="D31" s="295"/>
      <c r="E31" s="296" t="s">
        <v>1775</v>
      </c>
      <c r="F31" s="297"/>
      <c r="G31" s="791">
        <f>G30</f>
        <v>-405.70276531367119</v>
      </c>
      <c r="H31" s="298">
        <v>-855.67849372420437</v>
      </c>
      <c r="J31" s="276"/>
      <c r="K31" s="276"/>
      <c r="M31"/>
    </row>
    <row r="32" spans="4:23" ht="18" customHeight="1">
      <c r="M32"/>
      <c r="N32"/>
      <c r="O32"/>
      <c r="P32"/>
      <c r="Q32"/>
      <c r="R32"/>
      <c r="S32"/>
    </row>
    <row r="33" spans="5:19" ht="18" customHeight="1">
      <c r="E33" s="6" t="s">
        <v>1776</v>
      </c>
      <c r="G33" s="276" t="b">
        <f>G8=T_IS!W36</f>
        <v>1</v>
      </c>
      <c r="H33" s="276"/>
      <c r="M33"/>
      <c r="N33"/>
      <c r="O33"/>
      <c r="P33"/>
      <c r="Q33"/>
      <c r="R33"/>
      <c r="S33"/>
    </row>
    <row r="34" spans="5:19" ht="18" customHeight="1">
      <c r="G34" s="276" t="b">
        <f>G10=T_IS!W75</f>
        <v>1</v>
      </c>
      <c r="H34" s="276"/>
      <c r="M34"/>
      <c r="N34"/>
      <c r="O34"/>
      <c r="P34"/>
      <c r="Q34"/>
      <c r="R34"/>
      <c r="S34"/>
    </row>
    <row r="35" spans="5:19" ht="18" customHeight="1">
      <c r="G35" s="276" t="b">
        <f>G16=T_IS!W120</f>
        <v>1</v>
      </c>
      <c r="H35" s="276"/>
      <c r="M35"/>
      <c r="N35"/>
      <c r="O35"/>
      <c r="P35"/>
      <c r="Q35"/>
      <c r="R35"/>
      <c r="S35"/>
    </row>
    <row r="36" spans="5:19" ht="18" customHeight="1">
      <c r="G36" s="276" t="b">
        <f>G18=T_IS!W123</f>
        <v>1</v>
      </c>
      <c r="H36" s="276"/>
      <c r="M36"/>
      <c r="N36"/>
      <c r="O36"/>
      <c r="P36"/>
      <c r="Q36"/>
      <c r="R36"/>
      <c r="S36"/>
    </row>
    <row r="37" spans="5:19" ht="18" customHeight="1">
      <c r="G37" s="276"/>
      <c r="H37" s="276"/>
      <c r="M37"/>
      <c r="N37"/>
      <c r="O37"/>
      <c r="P37"/>
      <c r="Q37"/>
      <c r="R37"/>
      <c r="S37"/>
    </row>
    <row r="38" spans="5:19" ht="18" customHeight="1">
      <c r="F38" s="878" t="s">
        <v>2268</v>
      </c>
      <c r="G38" s="878">
        <v>56859047</v>
      </c>
      <c r="M38"/>
      <c r="N38"/>
      <c r="O38"/>
      <c r="P38"/>
      <c r="Q38"/>
      <c r="R38"/>
      <c r="S38"/>
    </row>
    <row r="39" spans="5:19" ht="18" customHeight="1">
      <c r="M39"/>
      <c r="N39"/>
      <c r="O39"/>
      <c r="P39"/>
      <c r="Q39"/>
      <c r="R39"/>
      <c r="S39"/>
    </row>
    <row r="40" spans="5:19" ht="18" customHeight="1">
      <c r="M40"/>
      <c r="N40"/>
      <c r="O40"/>
      <c r="P40"/>
      <c r="Q40"/>
      <c r="R40"/>
      <c r="S40"/>
    </row>
    <row r="41" spans="5:19" ht="18" customHeight="1">
      <c r="M41"/>
      <c r="N41"/>
      <c r="O41"/>
      <c r="P41"/>
      <c r="Q41"/>
      <c r="R41"/>
      <c r="S41"/>
    </row>
    <row r="42" spans="5:19" ht="18" customHeight="1">
      <c r="M42"/>
      <c r="N42"/>
      <c r="O42"/>
      <c r="P42"/>
      <c r="Q42"/>
      <c r="R42"/>
      <c r="S42"/>
    </row>
    <row r="43" spans="5:19" ht="18" customHeight="1">
      <c r="M43"/>
      <c r="N43"/>
      <c r="O43"/>
      <c r="P43"/>
      <c r="Q43"/>
      <c r="R43"/>
      <c r="S43"/>
    </row>
    <row r="44" spans="5:19" ht="18" customHeight="1">
      <c r="M44"/>
      <c r="N44"/>
      <c r="O44"/>
      <c r="P44"/>
      <c r="Q44"/>
      <c r="R44"/>
      <c r="S44"/>
    </row>
    <row r="45" spans="5:19" ht="18" customHeight="1">
      <c r="M45"/>
      <c r="N45"/>
      <c r="O45"/>
      <c r="P45"/>
      <c r="Q45"/>
      <c r="R45"/>
      <c r="S45"/>
    </row>
    <row r="46" spans="5:19" ht="18" customHeight="1">
      <c r="M46"/>
      <c r="N46"/>
      <c r="O46"/>
      <c r="P46"/>
      <c r="Q46"/>
      <c r="R46"/>
      <c r="S46"/>
    </row>
    <row r="47" spans="5:19" ht="18" customHeight="1">
      <c r="M47"/>
      <c r="N47"/>
      <c r="O47"/>
      <c r="P47"/>
      <c r="Q47"/>
      <c r="R47"/>
      <c r="S47"/>
    </row>
    <row r="48" spans="5:19" ht="18" customHeight="1">
      <c r="M48"/>
      <c r="N48"/>
      <c r="O48"/>
      <c r="P48"/>
      <c r="Q48"/>
      <c r="R48"/>
      <c r="S48"/>
    </row>
    <row r="49" spans="13:19" ht="18" customHeight="1">
      <c r="M49"/>
      <c r="N49"/>
      <c r="O49"/>
      <c r="P49"/>
      <c r="Q49"/>
      <c r="R49"/>
      <c r="S49"/>
    </row>
    <row r="50" spans="13:19" ht="18" customHeight="1">
      <c r="M50"/>
      <c r="N50"/>
      <c r="O50"/>
      <c r="P50"/>
      <c r="Q50"/>
      <c r="R50"/>
      <c r="S50"/>
    </row>
    <row r="51" spans="13:19" ht="18" customHeight="1">
      <c r="N51"/>
      <c r="O51"/>
      <c r="P51"/>
      <c r="Q51"/>
      <c r="R51"/>
      <c r="S51"/>
    </row>
    <row r="52" spans="13:19" ht="18" customHeight="1">
      <c r="N52"/>
      <c r="O52"/>
      <c r="P52"/>
      <c r="Q52"/>
      <c r="R52"/>
      <c r="S52"/>
    </row>
    <row r="53" spans="13:19" ht="18" customHeight="1">
      <c r="N53"/>
      <c r="O53"/>
      <c r="P53"/>
      <c r="Q53"/>
      <c r="R53"/>
      <c r="S53"/>
    </row>
    <row r="54" spans="13:19" ht="18" customHeight="1">
      <c r="N54"/>
      <c r="O54"/>
      <c r="P54"/>
      <c r="Q54"/>
      <c r="R54"/>
      <c r="S54"/>
    </row>
  </sheetData>
  <mergeCells count="9">
    <mergeCell ref="P4:Q4"/>
    <mergeCell ref="R4:S4"/>
    <mergeCell ref="N21:S21"/>
    <mergeCell ref="N23:S23"/>
    <mergeCell ref="D4:D5"/>
    <mergeCell ref="E4:E5"/>
    <mergeCell ref="F4:F5"/>
    <mergeCell ref="N4:N5"/>
    <mergeCell ref="O4:O5"/>
  </mergeCells>
  <phoneticPr fontId="20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C000"/>
  </sheetPr>
  <dimension ref="D3:L26"/>
  <sheetViews>
    <sheetView showGridLines="0" zoomScaleNormal="100" workbookViewId="0">
      <selection activeCell="D25" sqref="D25"/>
    </sheetView>
  </sheetViews>
  <sheetFormatPr defaultColWidth="8.75" defaultRowHeight="18" customHeight="1"/>
  <cols>
    <col min="1" max="3" width="2.375" style="5" customWidth="1"/>
    <col min="4" max="4" width="34.75" style="7" bestFit="1" customWidth="1"/>
    <col min="5" max="12" width="19.125" style="7" customWidth="1"/>
    <col min="13" max="16384" width="8.75" style="5"/>
  </cols>
  <sheetData>
    <row r="3" spans="4:11" ht="18" customHeight="1" thickBot="1"/>
    <row r="4" spans="4:11" ht="18" customHeight="1">
      <c r="D4" s="909" t="s">
        <v>1691</v>
      </c>
      <c r="E4" s="911" t="s">
        <v>1692</v>
      </c>
      <c r="F4" s="911"/>
      <c r="G4" s="911"/>
      <c r="H4" s="911"/>
      <c r="I4" s="911"/>
      <c r="J4" s="911" t="s">
        <v>1693</v>
      </c>
      <c r="K4" s="913" t="s">
        <v>14</v>
      </c>
    </row>
    <row r="5" spans="4:11" ht="18" customHeight="1">
      <c r="D5" s="910"/>
      <c r="E5" s="255" t="s">
        <v>1694</v>
      </c>
      <c r="F5" s="255" t="s">
        <v>12</v>
      </c>
      <c r="G5" s="255" t="s">
        <v>194</v>
      </c>
      <c r="H5" s="255" t="s">
        <v>1695</v>
      </c>
      <c r="I5" s="255" t="s">
        <v>1696</v>
      </c>
      <c r="J5" s="912"/>
      <c r="K5" s="914"/>
    </row>
    <row r="6" spans="4:11" ht="18" customHeight="1">
      <c r="D6" s="256" t="s">
        <v>1982</v>
      </c>
      <c r="E6" s="744">
        <v>27779139500</v>
      </c>
      <c r="F6" s="744">
        <v>173855395328</v>
      </c>
      <c r="G6" s="744">
        <v>-2776797396</v>
      </c>
      <c r="H6" s="744">
        <v>-38998926103</v>
      </c>
      <c r="I6" s="258">
        <v>159858811329</v>
      </c>
      <c r="J6" s="257" t="s">
        <v>612</v>
      </c>
      <c r="K6" s="259">
        <f t="shared" ref="K6:K15" si="0">SUM(I6:J6)</f>
        <v>159858811329</v>
      </c>
    </row>
    <row r="7" spans="4:11" ht="18" customHeight="1">
      <c r="D7" s="260" t="s">
        <v>1697</v>
      </c>
      <c r="E7" s="261">
        <f>SUM(E8:E10)</f>
        <v>0</v>
      </c>
      <c r="F7" s="261">
        <f>SUM(F8:F10)</f>
        <v>0</v>
      </c>
      <c r="G7" s="261">
        <f>SUM(G8:G10)</f>
        <v>800612257</v>
      </c>
      <c r="H7" s="261">
        <f>SUM(H8:H10)</f>
        <v>-48772033664</v>
      </c>
      <c r="I7" s="262">
        <f>SUM(I8:I10)</f>
        <v>-47971421407</v>
      </c>
      <c r="J7" s="261" t="s">
        <v>612</v>
      </c>
      <c r="K7" s="263">
        <f t="shared" si="0"/>
        <v>-47971421407</v>
      </c>
    </row>
    <row r="8" spans="4:11" ht="18" customHeight="1">
      <c r="D8" s="264" t="s">
        <v>1882</v>
      </c>
      <c r="E8" s="265" t="s">
        <v>612</v>
      </c>
      <c r="F8" s="265" t="s">
        <v>612</v>
      </c>
      <c r="G8" s="265" t="s">
        <v>612</v>
      </c>
      <c r="H8" s="746">
        <f>'IS(공)'!H18</f>
        <v>-48005522146</v>
      </c>
      <c r="I8" s="266">
        <f>SUM(E8:H8)</f>
        <v>-48005522146</v>
      </c>
      <c r="J8" s="265" t="s">
        <v>612</v>
      </c>
      <c r="K8" s="267">
        <f t="shared" si="0"/>
        <v>-48005522146</v>
      </c>
    </row>
    <row r="9" spans="4:11" ht="18" customHeight="1">
      <c r="D9" s="264" t="s">
        <v>1698</v>
      </c>
      <c r="E9" s="265" t="s">
        <v>612</v>
      </c>
      <c r="F9" s="265" t="s">
        <v>612</v>
      </c>
      <c r="G9" s="265" t="s">
        <v>612</v>
      </c>
      <c r="H9" s="265">
        <f>'IS(공)'!H23</f>
        <v>-766511518</v>
      </c>
      <c r="I9" s="266">
        <f>SUM(E9:H9)</f>
        <v>-766511518</v>
      </c>
      <c r="J9" s="265" t="s">
        <v>612</v>
      </c>
      <c r="K9" s="267">
        <f t="shared" si="0"/>
        <v>-766511518</v>
      </c>
    </row>
    <row r="10" spans="4:11" ht="18" customHeight="1">
      <c r="D10" s="264" t="s">
        <v>1699</v>
      </c>
      <c r="E10" s="265">
        <v>0</v>
      </c>
      <c r="F10" s="265">
        <v>0</v>
      </c>
      <c r="G10" s="265">
        <f>'IS(공)'!H25</f>
        <v>800612257</v>
      </c>
      <c r="H10" s="265">
        <v>0</v>
      </c>
      <c r="I10" s="266">
        <f>SUM(E10:H10)</f>
        <v>800612257</v>
      </c>
      <c r="J10" s="265" t="s">
        <v>612</v>
      </c>
      <c r="K10" s="267">
        <f t="shared" si="0"/>
        <v>800612257</v>
      </c>
    </row>
    <row r="11" spans="4:11" ht="18" customHeight="1">
      <c r="D11" s="260" t="s">
        <v>1700</v>
      </c>
      <c r="E11" s="261">
        <f>SUM(E12:E14)</f>
        <v>650784000</v>
      </c>
      <c r="F11" s="261">
        <f>SUM(F12:F14)</f>
        <v>4704182528</v>
      </c>
      <c r="G11" s="261">
        <f>SUM(G12:G14)</f>
        <v>674683389</v>
      </c>
      <c r="H11" s="261">
        <f>SUM(H12:H14)</f>
        <v>0</v>
      </c>
      <c r="I11" s="262">
        <f>SUM(I12:I14)</f>
        <v>6029649917</v>
      </c>
      <c r="J11" s="261" t="s">
        <v>612</v>
      </c>
      <c r="K11" s="263">
        <f t="shared" si="0"/>
        <v>6029649917</v>
      </c>
    </row>
    <row r="12" spans="4:11" ht="18" customHeight="1">
      <c r="D12" s="264" t="s">
        <v>1701</v>
      </c>
      <c r="E12" s="745">
        <v>650784000</v>
      </c>
      <c r="F12" s="745">
        <v>4704182528</v>
      </c>
      <c r="G12" s="747" t="s">
        <v>612</v>
      </c>
      <c r="H12" s="747" t="s">
        <v>612</v>
      </c>
      <c r="I12" s="266">
        <f>SUM(E12:H12)</f>
        <v>5354966528</v>
      </c>
      <c r="J12" s="265" t="s">
        <v>612</v>
      </c>
      <c r="K12" s="267">
        <f t="shared" si="0"/>
        <v>5354966528</v>
      </c>
    </row>
    <row r="13" spans="4:11" ht="18" customHeight="1">
      <c r="D13" s="264" t="s">
        <v>2134</v>
      </c>
      <c r="E13" s="747" t="s">
        <v>612</v>
      </c>
      <c r="F13" s="747" t="s">
        <v>612</v>
      </c>
      <c r="G13" s="745"/>
      <c r="H13" s="747" t="s">
        <v>612</v>
      </c>
      <c r="I13" s="266"/>
      <c r="J13" s="265"/>
      <c r="K13" s="267"/>
    </row>
    <row r="14" spans="4:11" ht="18" customHeight="1">
      <c r="D14" s="264" t="s">
        <v>1702</v>
      </c>
      <c r="E14" s="747" t="s">
        <v>612</v>
      </c>
      <c r="F14" s="747" t="s">
        <v>612</v>
      </c>
      <c r="G14" s="745">
        <v>674683389</v>
      </c>
      <c r="H14" s="747" t="s">
        <v>612</v>
      </c>
      <c r="I14" s="266">
        <f>SUM(E14:H14)</f>
        <v>674683389</v>
      </c>
      <c r="J14" s="265" t="s">
        <v>612</v>
      </c>
      <c r="K14" s="267">
        <f>SUM(I14:J14)</f>
        <v>674683389</v>
      </c>
    </row>
    <row r="15" spans="4:11" ht="18" customHeight="1">
      <c r="D15" s="256" t="s">
        <v>2284</v>
      </c>
      <c r="E15" s="257">
        <f>E6+E7+E11</f>
        <v>28429923500</v>
      </c>
      <c r="F15" s="257">
        <f>F6+F7+F11</f>
        <v>178559577856</v>
      </c>
      <c r="G15" s="257">
        <f>G6+G7+G11</f>
        <v>-1301501750</v>
      </c>
      <c r="H15" s="257">
        <f>H6+H7+H11</f>
        <v>-87770959767</v>
      </c>
      <c r="I15" s="258">
        <f>I6+I7+I11</f>
        <v>117917039839</v>
      </c>
      <c r="J15" s="257" t="s">
        <v>612</v>
      </c>
      <c r="K15" s="259">
        <f t="shared" si="0"/>
        <v>117917039839</v>
      </c>
    </row>
    <row r="16" spans="4:11" ht="18" customHeight="1">
      <c r="D16" s="268" t="s">
        <v>1983</v>
      </c>
      <c r="E16" s="258">
        <f>'BS(공)'!I38</f>
        <v>28429923500</v>
      </c>
      <c r="F16" s="258">
        <f>'BS(공)'!I39</f>
        <v>178559577856</v>
      </c>
      <c r="G16" s="258">
        <f>'BS(공)'!I40</f>
        <v>-1301501750</v>
      </c>
      <c r="H16" s="258">
        <f>'BS(공)'!I41</f>
        <v>-87770959767</v>
      </c>
      <c r="I16" s="258">
        <f>SUM(E16:H16)</f>
        <v>117917039839</v>
      </c>
      <c r="J16" s="258" t="str">
        <f>J15</f>
        <v>-</v>
      </c>
      <c r="K16" s="259">
        <f>SUM(I16:J16)</f>
        <v>117917039839</v>
      </c>
    </row>
    <row r="17" spans="4:12" ht="18" customHeight="1">
      <c r="D17" s="260" t="s">
        <v>1697</v>
      </c>
      <c r="E17" s="261">
        <f t="shared" ref="E17:K17" si="1">SUM(E18:E20)</f>
        <v>0</v>
      </c>
      <c r="F17" s="261">
        <f t="shared" si="1"/>
        <v>0</v>
      </c>
      <c r="G17" s="261">
        <f t="shared" si="1"/>
        <v>366557609</v>
      </c>
      <c r="H17" s="261">
        <f t="shared" si="1"/>
        <v>-23106458667</v>
      </c>
      <c r="I17" s="261">
        <f t="shared" si="1"/>
        <v>-22739901058</v>
      </c>
      <c r="J17" s="261">
        <f t="shared" si="1"/>
        <v>0</v>
      </c>
      <c r="K17" s="269">
        <f t="shared" si="1"/>
        <v>-22739901058</v>
      </c>
      <c r="L17" s="7" t="b">
        <f>H18=T_IS!W124</f>
        <v>1</v>
      </c>
    </row>
    <row r="18" spans="4:12" ht="18" customHeight="1">
      <c r="D18" s="264" t="s">
        <v>1905</v>
      </c>
      <c r="E18" s="265" t="s">
        <v>2133</v>
      </c>
      <c r="F18" s="265" t="s">
        <v>612</v>
      </c>
      <c r="G18" s="265" t="s">
        <v>612</v>
      </c>
      <c r="H18" s="265">
        <f>T_CE!K27</f>
        <v>-23067872601</v>
      </c>
      <c r="I18" s="266">
        <f>SUM(E18:H18)</f>
        <v>-23067872601</v>
      </c>
      <c r="J18" s="265" t="s">
        <v>612</v>
      </c>
      <c r="K18" s="267">
        <f t="shared" ref="K18:K23" si="2">SUM(I18:J18)</f>
        <v>-23067872601</v>
      </c>
    </row>
    <row r="19" spans="4:12" ht="18" customHeight="1">
      <c r="D19" s="264" t="s">
        <v>1698</v>
      </c>
      <c r="E19" s="265" t="s">
        <v>612</v>
      </c>
      <c r="F19" s="265" t="s">
        <v>612</v>
      </c>
      <c r="G19" s="265" t="s">
        <v>612</v>
      </c>
      <c r="H19" s="265">
        <f>T_CE!K25</f>
        <v>-38586066</v>
      </c>
      <c r="I19" s="266">
        <f>SUM(E19:H19)</f>
        <v>-38586066</v>
      </c>
      <c r="J19" s="265" t="s">
        <v>612</v>
      </c>
      <c r="K19" s="267">
        <f t="shared" si="2"/>
        <v>-38586066</v>
      </c>
    </row>
    <row r="20" spans="4:12" ht="18" customHeight="1">
      <c r="D20" s="270" t="s">
        <v>1699</v>
      </c>
      <c r="E20" s="266"/>
      <c r="F20" s="265" t="s">
        <v>612</v>
      </c>
      <c r="G20" s="266">
        <f>T_CE!K22</f>
        <v>366557609</v>
      </c>
      <c r="H20" s="266"/>
      <c r="I20" s="266">
        <f>SUM(E20:H20)</f>
        <v>366557609</v>
      </c>
      <c r="J20" s="265" t="s">
        <v>612</v>
      </c>
      <c r="K20" s="267">
        <f t="shared" si="2"/>
        <v>366557609</v>
      </c>
    </row>
    <row r="21" spans="4:12" ht="18" customHeight="1">
      <c r="D21" s="260" t="s">
        <v>1700</v>
      </c>
      <c r="E21" s="262">
        <f t="shared" ref="E21:K21" si="3">SUM(E22:E23)</f>
        <v>0</v>
      </c>
      <c r="F21" s="262">
        <f t="shared" si="3"/>
        <v>0</v>
      </c>
      <c r="G21" s="262">
        <f t="shared" si="3"/>
        <v>624260187</v>
      </c>
      <c r="H21" s="262">
        <f t="shared" si="3"/>
        <v>0</v>
      </c>
      <c r="I21" s="262">
        <f t="shared" si="3"/>
        <v>624260187</v>
      </c>
      <c r="J21" s="262">
        <f t="shared" si="3"/>
        <v>0</v>
      </c>
      <c r="K21" s="263">
        <f t="shared" si="3"/>
        <v>624260187</v>
      </c>
    </row>
    <row r="22" spans="4:12" ht="18" customHeight="1">
      <c r="D22" s="264" t="s">
        <v>1701</v>
      </c>
      <c r="E22" s="266">
        <f>T_CE!K9</f>
        <v>0</v>
      </c>
      <c r="F22" s="266">
        <f>T_CE!K11+T_CE!K12</f>
        <v>0</v>
      </c>
      <c r="G22" s="266">
        <v>0</v>
      </c>
      <c r="H22" s="266">
        <v>0</v>
      </c>
      <c r="I22" s="266">
        <f>SUM(E22:H22)</f>
        <v>0</v>
      </c>
      <c r="J22" s="266"/>
      <c r="K22" s="267">
        <f t="shared" si="2"/>
        <v>0</v>
      </c>
    </row>
    <row r="23" spans="4:12" ht="18" customHeight="1">
      <c r="D23" s="264" t="s">
        <v>1702</v>
      </c>
      <c r="E23" s="266"/>
      <c r="F23" s="266"/>
      <c r="G23" s="266">
        <f>T_CE!M18</f>
        <v>624260187</v>
      </c>
      <c r="H23" s="266"/>
      <c r="I23" s="266">
        <f>SUM(E23:H23)</f>
        <v>624260187</v>
      </c>
      <c r="J23" s="266"/>
      <c r="K23" s="267">
        <f t="shared" si="2"/>
        <v>624260187</v>
      </c>
    </row>
    <row r="24" spans="4:12" ht="18" customHeight="1" thickBot="1">
      <c r="D24" s="271" t="s">
        <v>2285</v>
      </c>
      <c r="E24" s="272">
        <f t="shared" ref="E24:K24" si="4">SUM(E21,E16)+E17</f>
        <v>28429923500</v>
      </c>
      <c r="F24" s="272">
        <f t="shared" si="4"/>
        <v>178559577856</v>
      </c>
      <c r="G24" s="272">
        <f t="shared" si="4"/>
        <v>-310683954</v>
      </c>
      <c r="H24" s="272">
        <f t="shared" si="4"/>
        <v>-110877418434</v>
      </c>
      <c r="I24" s="272">
        <f t="shared" si="4"/>
        <v>95801398968</v>
      </c>
      <c r="J24" s="272">
        <f t="shared" si="4"/>
        <v>0</v>
      </c>
      <c r="K24" s="273">
        <f t="shared" si="4"/>
        <v>95801398968</v>
      </c>
    </row>
    <row r="25" spans="4:12" ht="18" customHeight="1">
      <c r="D25" s="7" t="s">
        <v>1703</v>
      </c>
      <c r="E25" s="7">
        <f>T_BS!W221</f>
        <v>28429923500</v>
      </c>
      <c r="F25" s="7">
        <f>T_BS!W223</f>
        <v>178559577856</v>
      </c>
      <c r="G25" s="7">
        <f>T_BS!W227</f>
        <v>-310683954</v>
      </c>
      <c r="H25" s="7">
        <f>T_BS!W237</f>
        <v>-110877418434</v>
      </c>
      <c r="I25" s="7">
        <f>SUM(E25:H25)</f>
        <v>95801398968</v>
      </c>
      <c r="K25" s="7">
        <f>T_BS!W220</f>
        <v>95801398968</v>
      </c>
    </row>
    <row r="26" spans="4:12" ht="18" customHeight="1">
      <c r="E26" s="7">
        <f>E24-E25</f>
        <v>0</v>
      </c>
      <c r="F26" s="7">
        <f t="shared" ref="F26:K26" si="5">F24-F25</f>
        <v>0</v>
      </c>
      <c r="G26" s="7">
        <f t="shared" si="5"/>
        <v>0</v>
      </c>
      <c r="H26" s="7">
        <f t="shared" si="5"/>
        <v>0</v>
      </c>
      <c r="I26" s="7">
        <f t="shared" si="5"/>
        <v>0</v>
      </c>
      <c r="J26" s="7">
        <f t="shared" si="5"/>
        <v>0</v>
      </c>
      <c r="K26" s="7">
        <f t="shared" si="5"/>
        <v>0</v>
      </c>
    </row>
  </sheetData>
  <mergeCells count="4">
    <mergeCell ref="D4:D5"/>
    <mergeCell ref="E4:I4"/>
    <mergeCell ref="J4:J5"/>
    <mergeCell ref="K4:K5"/>
  </mergeCells>
  <phoneticPr fontId="2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FFC000"/>
  </sheetPr>
  <dimension ref="D3:P100"/>
  <sheetViews>
    <sheetView showGridLines="0" zoomScale="80" zoomScaleNormal="80" workbookViewId="0">
      <pane xSplit="4" ySplit="5" topLeftCell="E72" activePane="bottomRight" state="frozen"/>
      <selection activeCell="J13" sqref="J13"/>
      <selection pane="topRight" activeCell="J13" sqref="J13"/>
      <selection pane="bottomLeft" activeCell="J13" sqref="J13"/>
      <selection pane="bottomRight" activeCell="F97" sqref="F97"/>
    </sheetView>
  </sheetViews>
  <sheetFormatPr defaultColWidth="8.75" defaultRowHeight="18" customHeight="1"/>
  <cols>
    <col min="1" max="3" width="2.375" style="7" customWidth="1"/>
    <col min="4" max="4" width="36.875" style="7" customWidth="1"/>
    <col min="5" max="5" width="33.75" style="7" bestFit="1" customWidth="1"/>
    <col min="6" max="8" width="20.375" style="7" customWidth="1"/>
    <col min="9" max="9" width="20.375" style="187" customWidth="1"/>
    <col min="10" max="22" width="20.375" style="7" customWidth="1"/>
    <col min="23" max="16384" width="8.75" style="7"/>
  </cols>
  <sheetData>
    <row r="3" spans="4:16" s="186" customFormat="1" ht="18" customHeight="1"/>
    <row r="4" spans="4:16" ht="18" customHeight="1" thickBot="1">
      <c r="J4" s="186"/>
      <c r="K4" s="186"/>
      <c r="L4" s="186"/>
      <c r="M4" s="186"/>
      <c r="N4" s="186"/>
      <c r="O4" s="186"/>
      <c r="P4"/>
    </row>
    <row r="5" spans="4:16" ht="18" customHeight="1">
      <c r="D5" s="188" t="s">
        <v>1392</v>
      </c>
      <c r="E5" s="189" t="s">
        <v>17</v>
      </c>
      <c r="F5" s="189" t="s">
        <v>2024</v>
      </c>
      <c r="G5" s="189" t="s">
        <v>2010</v>
      </c>
      <c r="H5" s="190" t="s">
        <v>1885</v>
      </c>
      <c r="J5" s="186"/>
      <c r="K5" s="186"/>
      <c r="L5" s="186"/>
      <c r="M5" s="186"/>
      <c r="N5" s="186"/>
      <c r="O5" s="186"/>
      <c r="P5"/>
    </row>
    <row r="6" spans="4:16" ht="18" customHeight="1">
      <c r="D6" s="191" t="s">
        <v>1393</v>
      </c>
      <c r="E6" s="192"/>
      <c r="F6" s="193">
        <f>SUM(F7,F55:F58)</f>
        <v>15223219402</v>
      </c>
      <c r="G6" s="193">
        <f>SUM(G7,G55:G57)</f>
        <v>-1387694872</v>
      </c>
      <c r="H6" s="194">
        <f>SUM(H7,H55:H57)</f>
        <v>13641616776</v>
      </c>
      <c r="I6" s="187" t="b">
        <f>F6='CF.1'!T7</f>
        <v>1</v>
      </c>
      <c r="J6" s="186"/>
      <c r="K6" s="186"/>
      <c r="L6" s="186"/>
      <c r="M6" s="186"/>
      <c r="N6" s="186"/>
      <c r="O6" s="186"/>
      <c r="P6"/>
    </row>
    <row r="7" spans="4:16" s="187" customFormat="1" ht="18" customHeight="1">
      <c r="D7" s="195" t="s">
        <v>1394</v>
      </c>
      <c r="E7" s="196"/>
      <c r="F7" s="197">
        <f>SUM(F8,F9,F43)</f>
        <v>14701684571</v>
      </c>
      <c r="G7" s="197">
        <f>SUM(G8,G9,G43)</f>
        <v>-1920423146</v>
      </c>
      <c r="H7" s="198">
        <f>SUM(H8,H9,H43)</f>
        <v>13994440937</v>
      </c>
      <c r="J7" s="186"/>
      <c r="K7" s="186"/>
      <c r="L7" s="186"/>
      <c r="M7" s="186"/>
      <c r="N7" s="186"/>
      <c r="O7" s="186"/>
      <c r="P7"/>
    </row>
    <row r="8" spans="4:16" s="187" customFormat="1" ht="18" customHeight="1">
      <c r="D8" s="199" t="s">
        <v>1395</v>
      </c>
      <c r="E8" s="200" t="s">
        <v>1458</v>
      </c>
      <c r="F8" s="201">
        <f>ROUND(SUMIF('CF.1'!$F:$F,'CF(공)_1.0'!E8,'CF.1'!$T:$T),0)</f>
        <v>-23067872601</v>
      </c>
      <c r="G8" s="201">
        <v>-48005522146</v>
      </c>
      <c r="H8" s="202">
        <v>-21314253571</v>
      </c>
      <c r="J8" s="186"/>
      <c r="K8" s="186"/>
      <c r="L8" s="186"/>
      <c r="M8" s="186"/>
      <c r="N8" s="186"/>
      <c r="O8" s="186"/>
      <c r="P8"/>
    </row>
    <row r="9" spans="4:16" s="187" customFormat="1" ht="18" customHeight="1">
      <c r="D9" s="199" t="s">
        <v>1396</v>
      </c>
      <c r="E9" s="200"/>
      <c r="F9" s="201">
        <f>SUM(F10:F42)</f>
        <v>21446164110</v>
      </c>
      <c r="G9" s="201">
        <f>SUM(G10:G41)</f>
        <v>46922482424</v>
      </c>
      <c r="H9" s="202">
        <f>SUM(H10:H41)</f>
        <v>30137381117</v>
      </c>
      <c r="I9" s="696" t="b">
        <f>'CF.1'!T10+'CF.1'!T74-F9=0</f>
        <v>1</v>
      </c>
      <c r="J9" s="186"/>
      <c r="K9" s="186"/>
      <c r="L9" s="186"/>
      <c r="M9" s="186"/>
      <c r="N9" s="186"/>
      <c r="O9" s="186"/>
      <c r="P9"/>
    </row>
    <row r="10" spans="4:16" ht="18" customHeight="1">
      <c r="D10" s="203" t="s">
        <v>1521</v>
      </c>
      <c r="E10" s="204" t="s">
        <v>380</v>
      </c>
      <c r="F10" s="205">
        <f>ROUND(SUMIF('CF.1'!$F:$F,'CF(공)_1.0'!E10,'CF.1'!$T:$T),0)</f>
        <v>-1980322895</v>
      </c>
      <c r="G10" s="205">
        <v>70238074</v>
      </c>
      <c r="H10" s="206">
        <v>727208752</v>
      </c>
      <c r="J10" s="186"/>
      <c r="K10" s="186"/>
      <c r="L10" s="186"/>
      <c r="M10" s="186"/>
      <c r="N10" s="186"/>
      <c r="O10" s="186"/>
      <c r="P10"/>
    </row>
    <row r="11" spans="4:16" ht="18" customHeight="1">
      <c r="D11" s="203" t="s">
        <v>1397</v>
      </c>
      <c r="E11" s="204" t="s">
        <v>262</v>
      </c>
      <c r="F11" s="205">
        <f>ROUND(SUMIF('CF.1'!$F:$F,'CF(공)_1.0'!E11,'CF.1'!$T:$T),0)</f>
        <v>1681402629</v>
      </c>
      <c r="G11" s="205">
        <v>1094304358</v>
      </c>
      <c r="H11" s="206">
        <v>903714587</v>
      </c>
      <c r="J11" s="186"/>
      <c r="K11" s="186"/>
      <c r="L11" s="186"/>
      <c r="M11" s="186"/>
      <c r="N11" s="186"/>
      <c r="O11" s="186"/>
      <c r="P11"/>
    </row>
    <row r="12" spans="4:16" ht="18" customHeight="1">
      <c r="D12" s="203" t="s">
        <v>1398</v>
      </c>
      <c r="E12" s="204" t="s">
        <v>489</v>
      </c>
      <c r="F12" s="205">
        <f>ROUND(SUMIF('CF.1'!$F:$F,'CF(공)_1.0'!E12,'CF.1'!$T:$T),0)</f>
        <v>3307331285</v>
      </c>
      <c r="G12" s="205">
        <v>3630891654</v>
      </c>
      <c r="H12" s="206">
        <v>968110787</v>
      </c>
      <c r="J12" s="186"/>
      <c r="K12" s="186"/>
      <c r="L12" s="186"/>
      <c r="M12" s="186"/>
      <c r="N12" s="186"/>
      <c r="O12" s="186"/>
      <c r="P12"/>
    </row>
    <row r="13" spans="4:16" ht="18" customHeight="1">
      <c r="D13" s="203" t="s">
        <v>1399</v>
      </c>
      <c r="E13" s="204" t="s">
        <v>386</v>
      </c>
      <c r="F13" s="205">
        <f>ROUND(SUMIF('CF.1'!$F:$F,'CF(공)_1.0'!E13,'CF.1'!$T:$T),0)</f>
        <v>6564079983</v>
      </c>
      <c r="G13" s="205">
        <v>7923879010</v>
      </c>
      <c r="H13" s="206">
        <v>6624197748</v>
      </c>
      <c r="J13" s="186"/>
      <c r="K13" s="186"/>
      <c r="L13" s="186"/>
      <c r="M13" s="186"/>
      <c r="N13" s="186"/>
      <c r="O13" s="186"/>
      <c r="P13"/>
    </row>
    <row r="14" spans="4:16" ht="18" customHeight="1">
      <c r="D14" s="203" t="s">
        <v>1784</v>
      </c>
      <c r="E14" s="204" t="s">
        <v>760</v>
      </c>
      <c r="F14" s="205">
        <f>ROUND(SUMIF('CF.1'!$F:$F,'CF(공)_1.0'!E14,'CF.1'!$T:$T),0)</f>
        <v>624260187</v>
      </c>
      <c r="G14" s="205">
        <v>674683389</v>
      </c>
      <c r="H14" s="206">
        <v>0</v>
      </c>
      <c r="J14" s="186"/>
      <c r="K14" s="186"/>
      <c r="L14" s="186"/>
      <c r="M14" s="186"/>
      <c r="N14" s="186"/>
      <c r="O14" s="186"/>
      <c r="P14"/>
    </row>
    <row r="15" spans="4:16" ht="18" customHeight="1">
      <c r="D15" s="203" t="s">
        <v>1400</v>
      </c>
      <c r="E15" s="204" t="s">
        <v>1461</v>
      </c>
      <c r="F15" s="205">
        <f>ROUND(SUMIF('CF.1'!$F:$F,'CF(공)_1.0'!E15,'CF.1'!$T:$T),0)</f>
        <v>-28983221</v>
      </c>
      <c r="G15" s="205">
        <v>370148656</v>
      </c>
      <c r="H15" s="206">
        <v>650257159</v>
      </c>
      <c r="J15" s="186"/>
      <c r="K15" s="186"/>
      <c r="L15" s="186"/>
      <c r="M15" s="186"/>
      <c r="N15" s="186"/>
      <c r="O15" s="186"/>
      <c r="P15"/>
    </row>
    <row r="16" spans="4:16" ht="18" customHeight="1">
      <c r="D16" s="203" t="s">
        <v>1883</v>
      </c>
      <c r="E16" s="204" t="s">
        <v>1884</v>
      </c>
      <c r="F16" s="205">
        <f>ROUND(SUMIF('CF.1'!$F:$F,'CF(공)_1.0'!E16,'CF.1'!$T:$T),0)</f>
        <v>4200000000</v>
      </c>
      <c r="G16" s="205">
        <v>0</v>
      </c>
      <c r="H16" s="206">
        <v>0</v>
      </c>
      <c r="J16" s="186"/>
      <c r="K16" s="186"/>
      <c r="L16" s="186"/>
      <c r="M16" s="186"/>
      <c r="N16" s="186"/>
      <c r="O16" s="186"/>
      <c r="P16"/>
    </row>
    <row r="17" spans="4:16" ht="18" customHeight="1">
      <c r="D17" s="203" t="s">
        <v>1401</v>
      </c>
      <c r="E17" s="204" t="s">
        <v>1459</v>
      </c>
      <c r="F17" s="205">
        <f>ROUND(SUMIF('CF.1'!$F:$F,'CF(공)_1.0'!E17,'CF.1'!$T:$T),0)</f>
        <v>0</v>
      </c>
      <c r="G17" s="205">
        <v>0</v>
      </c>
      <c r="H17" s="206">
        <v>0</v>
      </c>
      <c r="J17" s="186"/>
      <c r="K17" s="186"/>
      <c r="L17" s="186"/>
      <c r="M17" s="186"/>
      <c r="N17" s="186"/>
      <c r="O17" s="186"/>
      <c r="P17"/>
    </row>
    <row r="18" spans="4:16" ht="18" customHeight="1">
      <c r="D18" s="203" t="s">
        <v>1402</v>
      </c>
      <c r="E18" s="204" t="s">
        <v>1460</v>
      </c>
      <c r="F18" s="205">
        <f>ROUND(SUMIF('CF.1'!$F:$F,'CF(공)_1.0'!E18,'CF.1'!$T:$T),0)</f>
        <v>-41664330</v>
      </c>
      <c r="G18" s="205">
        <v>-126485643</v>
      </c>
      <c r="H18" s="206">
        <v>0</v>
      </c>
      <c r="J18" s="186"/>
      <c r="K18" s="186"/>
      <c r="L18" s="186"/>
      <c r="M18" s="186"/>
      <c r="N18" s="186"/>
      <c r="O18" s="186"/>
      <c r="P18"/>
    </row>
    <row r="19" spans="4:16" ht="18" customHeight="1">
      <c r="D19" s="203" t="s">
        <v>1403</v>
      </c>
      <c r="E19" s="204" t="s">
        <v>1462</v>
      </c>
      <c r="F19" s="205">
        <f>ROUND(SUMIF('CF.1'!$F:$F,'CF(공)_1.0'!E19,'CF.1'!$T:$T),0)</f>
        <v>15816486</v>
      </c>
      <c r="G19" s="205">
        <v>3259565</v>
      </c>
      <c r="H19" s="206">
        <v>7832710</v>
      </c>
      <c r="J19" s="186"/>
      <c r="K19" s="186"/>
      <c r="L19" s="186"/>
      <c r="M19" s="186"/>
      <c r="N19" s="186"/>
      <c r="O19" s="186"/>
      <c r="P19"/>
    </row>
    <row r="20" spans="4:16" ht="18" customHeight="1">
      <c r="D20" s="203" t="s">
        <v>2011</v>
      </c>
      <c r="E20" s="204" t="s">
        <v>740</v>
      </c>
      <c r="F20" s="205">
        <f>ROUND(SUMIF('CF.1'!$F:$F,'CF(공)_1.0'!E20,'CF.1'!$T:$T),0)</f>
        <v>-2123496016</v>
      </c>
      <c r="G20" s="205">
        <v>11063844077</v>
      </c>
      <c r="H20" s="206">
        <v>3018808147</v>
      </c>
      <c r="J20" s="186"/>
      <c r="K20" s="186"/>
      <c r="L20" s="186"/>
      <c r="M20" s="186"/>
      <c r="N20" s="186"/>
      <c r="O20" s="186"/>
      <c r="P20"/>
    </row>
    <row r="21" spans="4:16" ht="18" customHeight="1">
      <c r="D21" s="203" t="s">
        <v>2137</v>
      </c>
      <c r="E21" s="204" t="s">
        <v>2136</v>
      </c>
      <c r="F21" s="205">
        <f>ROUND(SUMIF('CF.1'!$F:$F,'CF(공)_1.0'!E21,'CF.1'!$T:$T),0)</f>
        <v>1012691176</v>
      </c>
      <c r="G21" s="205"/>
      <c r="H21" s="206"/>
      <c r="J21" s="186"/>
      <c r="K21" s="186"/>
      <c r="L21" s="186"/>
      <c r="M21" s="186"/>
      <c r="N21" s="186"/>
      <c r="O21" s="186"/>
      <c r="P21"/>
    </row>
    <row r="22" spans="4:16" ht="18" customHeight="1">
      <c r="D22" s="203" t="s">
        <v>1404</v>
      </c>
      <c r="E22" s="204" t="s">
        <v>682</v>
      </c>
      <c r="F22" s="205">
        <f>ROUND(SUMIF('CF.1'!$F:$F,'CF(공)_1.0'!E22,'CF.1'!$T:$T),0)</f>
        <v>172075657</v>
      </c>
      <c r="G22" s="205">
        <v>533101318</v>
      </c>
      <c r="H22" s="206">
        <v>421425170</v>
      </c>
      <c r="J22" s="186"/>
      <c r="K22" s="186"/>
      <c r="L22" s="186"/>
      <c r="M22" s="186"/>
      <c r="N22" s="186"/>
      <c r="O22" s="186"/>
      <c r="P22"/>
    </row>
    <row r="23" spans="4:16" ht="18" customHeight="1">
      <c r="D23" s="203" t="s">
        <v>1405</v>
      </c>
      <c r="E23" s="204" t="s">
        <v>684</v>
      </c>
      <c r="F23" s="205">
        <f>ROUND(SUMIF('CF.1'!$F:$F,'CF(공)_1.0'!E23,'CF.1'!$T:$T),0)</f>
        <v>2170624184</v>
      </c>
      <c r="G23" s="205">
        <v>409104361</v>
      </c>
      <c r="H23" s="206">
        <v>120370359</v>
      </c>
      <c r="J23" s="186"/>
      <c r="K23" s="186"/>
      <c r="L23" s="186"/>
      <c r="M23" s="186"/>
      <c r="N23" s="186"/>
      <c r="O23" s="186"/>
      <c r="P23"/>
    </row>
    <row r="24" spans="4:16" ht="18" customHeight="1">
      <c r="D24" s="203" t="s">
        <v>1406</v>
      </c>
      <c r="E24" s="204" t="s">
        <v>734</v>
      </c>
      <c r="F24" s="205">
        <f>ROUND(SUMIF('CF.1'!$F:$F,'CF(공)_1.0'!E24,'CF.1'!$T:$T),0)</f>
        <v>0</v>
      </c>
      <c r="G24" s="205">
        <v>127467924</v>
      </c>
      <c r="H24" s="206">
        <v>0</v>
      </c>
      <c r="J24" s="186"/>
      <c r="K24" s="186"/>
      <c r="L24" s="186"/>
      <c r="M24" s="186"/>
      <c r="N24" s="186"/>
      <c r="O24" s="186"/>
      <c r="P24"/>
    </row>
    <row r="25" spans="4:16" ht="18" customHeight="1">
      <c r="D25" s="203" t="s">
        <v>1783</v>
      </c>
      <c r="E25" s="204" t="s">
        <v>736</v>
      </c>
      <c r="F25" s="205">
        <f>ROUND(SUMIF('CF.1'!$F:$F,'CF(공)_1.0'!E25,'CF.1'!$T:$T),0)</f>
        <v>598158</v>
      </c>
      <c r="G25" s="205">
        <v>15979275</v>
      </c>
      <c r="H25" s="206">
        <v>0</v>
      </c>
      <c r="J25" s="186"/>
      <c r="K25" s="186"/>
      <c r="L25" s="186"/>
      <c r="M25" s="186"/>
      <c r="N25" s="186"/>
      <c r="O25" s="186"/>
      <c r="P25"/>
    </row>
    <row r="26" spans="4:16" ht="18" customHeight="1">
      <c r="D26" s="203" t="s">
        <v>1407</v>
      </c>
      <c r="E26" s="204" t="s">
        <v>687</v>
      </c>
      <c r="F26" s="205">
        <f>ROUND(SUMIF('CF.1'!$F:$F,'CF(공)_1.0'!E26,'CF.1'!$T:$T),0)</f>
        <v>5548640215</v>
      </c>
      <c r="G26" s="205">
        <v>21824681843</v>
      </c>
      <c r="H26" s="206">
        <v>18961996554</v>
      </c>
      <c r="J26" s="186"/>
      <c r="K26" s="186"/>
      <c r="L26" s="186"/>
      <c r="M26" s="186"/>
      <c r="N26" s="186"/>
      <c r="O26" s="186"/>
      <c r="P26"/>
    </row>
    <row r="27" spans="4:16" ht="18" customHeight="1">
      <c r="D27" s="203" t="s">
        <v>1408</v>
      </c>
      <c r="E27" s="204" t="s">
        <v>688</v>
      </c>
      <c r="F27" s="205">
        <f>ROUND(SUMIF('CF.1'!$F:$F,'CF(공)_1.0'!E27,'CF.1'!$T:$T),0)</f>
        <v>1000</v>
      </c>
      <c r="G27" s="205">
        <v>25430480</v>
      </c>
      <c r="H27" s="206">
        <v>8137014</v>
      </c>
      <c r="J27" s="186"/>
      <c r="K27" s="186"/>
      <c r="L27" s="186"/>
      <c r="M27" s="186"/>
      <c r="N27" s="186"/>
      <c r="O27" s="186"/>
      <c r="P27"/>
    </row>
    <row r="28" spans="4:16" ht="18" customHeight="1">
      <c r="D28" s="203" t="s">
        <v>1522</v>
      </c>
      <c r="E28" s="204" t="s">
        <v>482</v>
      </c>
      <c r="F28" s="205">
        <f>ROUND(SUMIF('CF.1'!$F:$F,'CF(공)_1.0'!E28,'CF.1'!$T:$T),0)</f>
        <v>0</v>
      </c>
      <c r="G28" s="205">
        <v>0</v>
      </c>
      <c r="H28" s="206">
        <v>27763957</v>
      </c>
      <c r="J28" s="186"/>
      <c r="K28" s="186"/>
      <c r="L28" s="186"/>
      <c r="M28" s="186"/>
      <c r="N28" s="186"/>
      <c r="O28" s="186"/>
      <c r="P28"/>
    </row>
    <row r="29" spans="4:16" ht="18" customHeight="1">
      <c r="D29" s="203" t="s">
        <v>1532</v>
      </c>
      <c r="E29" s="204" t="s">
        <v>717</v>
      </c>
      <c r="F29" s="205">
        <f>ROUND(SUMIF('CF.1'!$F:$F,'CF(공)_1.0'!E29,'CF.1'!$T:$T),0)</f>
        <v>0</v>
      </c>
      <c r="G29" s="205">
        <v>0</v>
      </c>
      <c r="H29" s="206">
        <v>0</v>
      </c>
      <c r="J29" s="186"/>
      <c r="K29" s="186"/>
      <c r="L29" s="186"/>
      <c r="M29" s="186"/>
      <c r="N29" s="186"/>
      <c r="O29" s="186"/>
      <c r="P29"/>
    </row>
    <row r="30" spans="4:16" ht="18" customHeight="1">
      <c r="D30" s="203" t="s">
        <v>1409</v>
      </c>
      <c r="E30" s="204" t="s">
        <v>377</v>
      </c>
      <c r="F30" s="205">
        <f>ROUND(SUMIF('CF.1'!$F:$F,'CF(공)_1.0'!E30,'CF.1'!$T:$T),0)</f>
        <v>0</v>
      </c>
      <c r="G30" s="205">
        <v>0</v>
      </c>
      <c r="H30" s="206">
        <v>0</v>
      </c>
      <c r="J30" s="186"/>
      <c r="K30" s="186"/>
      <c r="L30" s="186"/>
      <c r="M30" s="186"/>
      <c r="N30" s="186"/>
      <c r="O30" s="186"/>
      <c r="P30"/>
    </row>
    <row r="31" spans="4:16" ht="18" customHeight="1">
      <c r="D31" s="203" t="s">
        <v>2139</v>
      </c>
      <c r="E31" s="204" t="s">
        <v>2138</v>
      </c>
      <c r="F31" s="205">
        <f>ROUND(SUMIF('CF.1'!$F:$F,'CF(공)_1.0'!E31,'CF.1'!$T:$T),0)</f>
        <v>0</v>
      </c>
      <c r="G31" s="205"/>
      <c r="H31" s="206"/>
      <c r="J31" s="186"/>
      <c r="K31" s="186"/>
      <c r="L31" s="186"/>
      <c r="M31" s="186"/>
      <c r="N31" s="186"/>
      <c r="O31" s="186"/>
      <c r="P31"/>
    </row>
    <row r="32" spans="4:16" ht="18" customHeight="1">
      <c r="D32" s="203" t="s">
        <v>1410</v>
      </c>
      <c r="E32" s="204" t="s">
        <v>674</v>
      </c>
      <c r="F32" s="205">
        <f>ROUND(SUMIF('CF.1'!$F:$F,'CF(공)_1.0'!E32,'CF.1'!$T:$T),0)</f>
        <v>-595479755</v>
      </c>
      <c r="G32" s="205">
        <v>-1373387026</v>
      </c>
      <c r="H32" s="206">
        <v>-924728239</v>
      </c>
      <c r="J32" s="186"/>
      <c r="K32" s="186"/>
      <c r="L32" s="186"/>
      <c r="M32" s="186"/>
      <c r="N32" s="186"/>
      <c r="O32" s="186"/>
      <c r="P32"/>
    </row>
    <row r="33" spans="4:16" ht="18" customHeight="1">
      <c r="D33" s="203" t="s">
        <v>1411</v>
      </c>
      <c r="E33" s="204" t="s">
        <v>676</v>
      </c>
      <c r="F33" s="205">
        <f>ROUND(SUMIF('CF.1'!$F:$F,'CF(공)_1.0'!E33,'CF.1'!$T:$T),0)</f>
        <v>-48978076</v>
      </c>
      <c r="G33" s="205">
        <v>-102383090</v>
      </c>
      <c r="H33" s="206">
        <v>-336870792</v>
      </c>
      <c r="J33" s="186"/>
      <c r="K33" s="186"/>
      <c r="L33" s="186"/>
      <c r="M33" s="186"/>
      <c r="N33" s="186"/>
      <c r="O33" s="186"/>
      <c r="P33"/>
    </row>
    <row r="34" spans="4:16" ht="18" customHeight="1">
      <c r="D34" s="203" t="s">
        <v>1412</v>
      </c>
      <c r="E34" s="204" t="s">
        <v>883</v>
      </c>
      <c r="F34" s="205">
        <f>ROUND(SUMIF('CF.1'!$F:$F,'CF(공)_1.0'!E34,'CF.1'!$T:$T),0)</f>
        <v>0</v>
      </c>
      <c r="G34" s="205">
        <v>0</v>
      </c>
      <c r="H34" s="206">
        <v>-46435516</v>
      </c>
      <c r="J34" s="186"/>
      <c r="K34" s="186"/>
      <c r="L34" s="186"/>
      <c r="M34" s="186"/>
      <c r="N34" s="186"/>
      <c r="O34" s="186"/>
      <c r="P34"/>
    </row>
    <row r="35" spans="4:16" ht="18" customHeight="1">
      <c r="D35" s="203" t="s">
        <v>1413</v>
      </c>
      <c r="E35" s="204" t="s">
        <v>1463</v>
      </c>
      <c r="F35" s="205">
        <f>ROUND(SUMIF('CF.1'!$F:$F,'CF(공)_1.0'!E35,'CF.1'!$T:$T),0)</f>
        <v>0</v>
      </c>
      <c r="G35" s="205">
        <v>-30066519</v>
      </c>
      <c r="H35" s="206">
        <v>0</v>
      </c>
      <c r="J35" s="186"/>
      <c r="K35" s="186"/>
      <c r="L35" s="186"/>
      <c r="M35" s="186"/>
      <c r="N35" s="186"/>
      <c r="O35" s="186"/>
      <c r="P35"/>
    </row>
    <row r="36" spans="4:16" ht="18" customHeight="1">
      <c r="D36" s="203" t="s">
        <v>1414</v>
      </c>
      <c r="E36" s="204" t="s">
        <v>1464</v>
      </c>
      <c r="F36" s="205">
        <f>ROUND(SUMIF('CF.1'!$F:$F,'CF(공)_1.0'!E36,'CF.1'!$T:$T),0)</f>
        <v>0</v>
      </c>
      <c r="G36" s="205">
        <v>-10629611</v>
      </c>
      <c r="H36" s="206">
        <v>-3474243</v>
      </c>
      <c r="J36" s="186"/>
      <c r="K36" s="186"/>
      <c r="L36" s="186"/>
      <c r="M36" s="186"/>
      <c r="N36" s="186"/>
      <c r="O36" s="186"/>
      <c r="P36"/>
    </row>
    <row r="37" spans="4:16" ht="18" customHeight="1">
      <c r="D37" s="203" t="s">
        <v>1415</v>
      </c>
      <c r="E37" s="204" t="s">
        <v>1465</v>
      </c>
      <c r="F37" s="205">
        <f>ROUND(SUMIF('CF.1'!$F:$F,'CF(공)_1.0'!E37,'CF.1'!$T:$T),0)</f>
        <v>996359683</v>
      </c>
      <c r="G37" s="205">
        <v>0</v>
      </c>
      <c r="H37" s="206">
        <v>21976536</v>
      </c>
      <c r="J37" s="186"/>
      <c r="K37" s="186"/>
      <c r="L37" s="186"/>
      <c r="M37" s="186"/>
      <c r="N37" s="186"/>
      <c r="O37" s="186"/>
      <c r="P37"/>
    </row>
    <row r="38" spans="4:16" ht="18" customHeight="1">
      <c r="D38" s="203" t="s">
        <v>1416</v>
      </c>
      <c r="E38" s="204" t="s">
        <v>679</v>
      </c>
      <c r="F38" s="205">
        <f>ROUND(SUMIF('CF.1'!$F:$F,'CF(공)_1.0'!E38,'CF.1'!$T:$T),0)</f>
        <v>-2240200</v>
      </c>
      <c r="G38" s="205">
        <v>-221590</v>
      </c>
      <c r="H38" s="206">
        <v>-6012061</v>
      </c>
      <c r="J38" s="186"/>
      <c r="K38" s="186"/>
      <c r="L38" s="186"/>
      <c r="M38" s="186"/>
      <c r="N38" s="186"/>
      <c r="O38" s="186"/>
      <c r="P38"/>
    </row>
    <row r="39" spans="4:16" ht="18" customHeight="1">
      <c r="D39" s="203" t="s">
        <v>1417</v>
      </c>
      <c r="E39" s="204" t="s">
        <v>680</v>
      </c>
      <c r="F39" s="205">
        <f>ROUND(SUMIF('CF.1'!$F:$F,'CF(공)_1.0'!E39,'CF.1'!$T:$T),0)</f>
        <v>0</v>
      </c>
      <c r="G39" s="205">
        <v>0</v>
      </c>
      <c r="H39" s="206">
        <v>-6897512</v>
      </c>
      <c r="J39" s="186"/>
      <c r="K39" s="186"/>
      <c r="L39" s="186"/>
      <c r="M39" s="186"/>
      <c r="N39" s="186"/>
      <c r="O39" s="186"/>
      <c r="P39"/>
    </row>
    <row r="40" spans="4:16" ht="18" customHeight="1">
      <c r="D40" s="203" t="s">
        <v>1840</v>
      </c>
      <c r="E40" s="204" t="s">
        <v>1841</v>
      </c>
      <c r="F40" s="205">
        <f>ROUND(SUMIF('CF.1'!$F:$F,'CF(공)_1.0'!E40,'CF.1'!$T:$T),0)</f>
        <v>0</v>
      </c>
      <c r="G40" s="205">
        <v>0</v>
      </c>
      <c r="H40" s="206">
        <v>0</v>
      </c>
      <c r="J40" s="186"/>
      <c r="K40" s="186"/>
      <c r="L40" s="186"/>
      <c r="M40" s="186"/>
      <c r="N40" s="186"/>
      <c r="O40" s="186"/>
      <c r="P40"/>
    </row>
    <row r="41" spans="4:16" s="187" customFormat="1" ht="18" customHeight="1">
      <c r="D41" s="203" t="s">
        <v>1843</v>
      </c>
      <c r="E41" s="204" t="s">
        <v>1842</v>
      </c>
      <c r="F41" s="205">
        <f>ROUND(SUMIF('CF.1'!$F:$F,'CF(공)_1.0'!E41,'CF.1'!$T:$T),0)</f>
        <v>0</v>
      </c>
      <c r="G41" s="205">
        <v>798641919</v>
      </c>
      <c r="H41" s="206">
        <v>-1000000000</v>
      </c>
      <c r="I41" s="187" t="b">
        <f>'CF.1'!T125-F43=0</f>
        <v>1</v>
      </c>
      <c r="J41" s="186"/>
      <c r="K41" s="186"/>
      <c r="L41" s="186"/>
      <c r="M41" s="186"/>
      <c r="N41" s="186"/>
      <c r="O41" s="186"/>
      <c r="P41"/>
    </row>
    <row r="42" spans="4:16" ht="18" customHeight="1">
      <c r="D42" s="203" t="s">
        <v>2012</v>
      </c>
      <c r="E42" s="204" t="s">
        <v>2013</v>
      </c>
      <c r="F42" s="205">
        <f>ROUND(SUMIF('CF.1'!$F:$F,'CF(공)_1.0'!E42,'CF.1'!$T:$T),0)</f>
        <v>-26552040</v>
      </c>
      <c r="G42" s="205">
        <v>0</v>
      </c>
      <c r="H42" s="206">
        <v>0</v>
      </c>
      <c r="J42" s="186"/>
      <c r="K42" s="186"/>
      <c r="L42" s="186"/>
      <c r="M42" s="186"/>
      <c r="N42" s="186"/>
      <c r="O42" s="186"/>
      <c r="P42"/>
    </row>
    <row r="43" spans="4:16" ht="18" customHeight="1">
      <c r="D43" s="199" t="s">
        <v>1418</v>
      </c>
      <c r="E43" s="200" t="s">
        <v>1466</v>
      </c>
      <c r="F43" s="201">
        <f>SUM(F44:F54)</f>
        <v>16323393062</v>
      </c>
      <c r="G43" s="201">
        <f>SUM(G44:G54)</f>
        <v>-837383424</v>
      </c>
      <c r="H43" s="207">
        <f>SUM(H44:H54)</f>
        <v>5171313391</v>
      </c>
      <c r="J43" s="186"/>
      <c r="K43" s="186"/>
      <c r="L43" s="186"/>
      <c r="M43" s="186"/>
      <c r="N43" s="186"/>
      <c r="O43" s="186"/>
      <c r="P43"/>
    </row>
    <row r="44" spans="4:16" ht="18" customHeight="1">
      <c r="D44" s="203" t="s">
        <v>1419</v>
      </c>
      <c r="E44" s="204" t="s">
        <v>1467</v>
      </c>
      <c r="F44" s="205">
        <f>ROUND(SUMIF('CF.1'!$F:$F,'CF(공)_1.0'!E44,'CF.1'!$T:$T),0)</f>
        <v>4621956912</v>
      </c>
      <c r="G44" s="205">
        <v>-7539631953</v>
      </c>
      <c r="H44" s="206">
        <v>-9662593697</v>
      </c>
      <c r="J44" s="186"/>
      <c r="K44" s="186"/>
      <c r="L44" s="186"/>
      <c r="M44" s="186"/>
      <c r="N44" s="186"/>
      <c r="O44" s="186"/>
      <c r="P44"/>
    </row>
    <row r="45" spans="4:16" ht="18" customHeight="1">
      <c r="D45" s="203" t="s">
        <v>1420</v>
      </c>
      <c r="E45" s="204" t="s">
        <v>1468</v>
      </c>
      <c r="F45" s="205">
        <f>ROUND(SUMIF('CF.1'!$F:$F,'CF(공)_1.0'!E45,'CF.1'!$T:$T),0)</f>
        <v>-12441359886</v>
      </c>
      <c r="G45" s="205">
        <v>-5385279428</v>
      </c>
      <c r="H45" s="206">
        <v>-4567827388</v>
      </c>
      <c r="J45" s="186"/>
      <c r="K45" s="186"/>
      <c r="L45" s="186"/>
      <c r="M45" s="186"/>
      <c r="N45" s="186"/>
      <c r="O45" s="186"/>
      <c r="P45"/>
    </row>
    <row r="46" spans="4:16" ht="18" customHeight="1">
      <c r="D46" s="203" t="s">
        <v>1421</v>
      </c>
      <c r="E46" s="204" t="s">
        <v>1469</v>
      </c>
      <c r="F46" s="205">
        <f>ROUND(SUMIF('CF.1'!$F:$F,'CF(공)_1.0'!E46,'CF.1'!$T:$T),0)</f>
        <v>-567874466</v>
      </c>
      <c r="G46" s="205">
        <v>1812955479</v>
      </c>
      <c r="H46" s="206">
        <v>120496256</v>
      </c>
      <c r="J46" s="186"/>
      <c r="K46" s="186"/>
      <c r="L46" s="186"/>
      <c r="M46" s="186"/>
      <c r="N46" s="186"/>
      <c r="O46" s="186"/>
      <c r="P46"/>
    </row>
    <row r="47" spans="4:16" ht="18" customHeight="1">
      <c r="D47" s="203" t="s">
        <v>1422</v>
      </c>
      <c r="E47" s="204" t="s">
        <v>1470</v>
      </c>
      <c r="F47" s="205">
        <f>ROUND(SUMIF('CF.1'!$F:$F,'CF(공)_1.0'!E47,'CF.1'!$T:$T),0)</f>
        <v>3609608055</v>
      </c>
      <c r="G47" s="205">
        <v>-2405454959</v>
      </c>
      <c r="H47" s="206">
        <v>-4423441156</v>
      </c>
      <c r="J47" s="186"/>
      <c r="K47" s="186"/>
      <c r="L47" s="186"/>
      <c r="M47" s="186"/>
      <c r="N47" s="186"/>
      <c r="O47" s="186"/>
      <c r="P47"/>
    </row>
    <row r="48" spans="4:16" ht="18" customHeight="1">
      <c r="D48" s="203" t="s">
        <v>1898</v>
      </c>
      <c r="E48" s="204" t="s">
        <v>2145</v>
      </c>
      <c r="F48" s="205">
        <f>ROUND(SUMIF('CF.1'!$F:$F,'CF(공)_1.0'!E48,'CF.1'!$T:$T),0)</f>
        <v>0</v>
      </c>
      <c r="G48" s="205">
        <v>-300136621</v>
      </c>
      <c r="H48" s="206">
        <v>0</v>
      </c>
      <c r="J48" s="186"/>
      <c r="K48" s="186"/>
      <c r="L48" s="186"/>
      <c r="M48" s="186"/>
      <c r="N48" s="186"/>
      <c r="O48" s="186"/>
      <c r="P48"/>
    </row>
    <row r="49" spans="4:16" ht="18" customHeight="1">
      <c r="D49" s="203" t="s">
        <v>1785</v>
      </c>
      <c r="E49" s="204" t="s">
        <v>1780</v>
      </c>
      <c r="F49" s="205">
        <f>ROUND(SUMIF('CF.1'!$F:$F,'CF(공)_1.0'!E49,'CF.1'!$T:$T),0)</f>
        <v>0</v>
      </c>
      <c r="G49" s="205">
        <v>-129134010</v>
      </c>
      <c r="H49" s="206">
        <v>0</v>
      </c>
      <c r="J49" s="186"/>
      <c r="K49" s="186"/>
      <c r="L49" s="186"/>
      <c r="M49" s="186"/>
      <c r="N49" s="186"/>
      <c r="O49" s="186"/>
      <c r="P49"/>
    </row>
    <row r="50" spans="4:16" ht="18" customHeight="1">
      <c r="D50" s="203" t="s">
        <v>1423</v>
      </c>
      <c r="E50" s="204" t="s">
        <v>1471</v>
      </c>
      <c r="F50" s="205">
        <f>ROUND(SUMIF('CF.1'!$F:$F,'CF(공)_1.0'!E50,'CF.1'!$T:$T),0)</f>
        <v>5338055248</v>
      </c>
      <c r="G50" s="205">
        <v>14516220107</v>
      </c>
      <c r="H50" s="206">
        <v>10560214059</v>
      </c>
      <c r="J50" s="186"/>
      <c r="K50" s="186"/>
      <c r="L50" s="186"/>
      <c r="M50" s="186"/>
      <c r="N50" s="186"/>
      <c r="O50" s="186"/>
      <c r="P50"/>
    </row>
    <row r="51" spans="4:16" ht="18" customHeight="1">
      <c r="D51" s="203" t="s">
        <v>1424</v>
      </c>
      <c r="E51" s="204" t="s">
        <v>1472</v>
      </c>
      <c r="F51" s="205">
        <f>ROUND(SUMIF('CF.1'!$F:$F,'CF(공)_1.0'!E51,'CF.1'!$T:$T),0)</f>
        <v>19556864340</v>
      </c>
      <c r="G51" s="205">
        <v>2404203858</v>
      </c>
      <c r="H51" s="206">
        <v>2463385876</v>
      </c>
      <c r="J51" s="186"/>
      <c r="K51" s="186"/>
      <c r="L51" s="186"/>
      <c r="M51" s="186"/>
      <c r="N51" s="186"/>
      <c r="O51" s="186"/>
      <c r="P51"/>
    </row>
    <row r="52" spans="4:16" ht="18" customHeight="1">
      <c r="D52" s="203" t="s">
        <v>1425</v>
      </c>
      <c r="E52" s="204" t="s">
        <v>1473</v>
      </c>
      <c r="F52" s="205">
        <f>ROUND(SUMIF('CF.1'!$F:$F,'CF(공)_1.0'!E52,'CF.1'!$T:$T),0)</f>
        <v>-1666867878</v>
      </c>
      <c r="G52" s="205">
        <v>-2594881411</v>
      </c>
      <c r="H52" s="206">
        <v>12005959229</v>
      </c>
      <c r="J52" s="186"/>
      <c r="K52" s="186"/>
      <c r="L52" s="186"/>
      <c r="M52" s="186"/>
      <c r="N52" s="186"/>
      <c r="O52" s="186"/>
      <c r="P52"/>
    </row>
    <row r="53" spans="4:16" s="211" customFormat="1" ht="18" customHeight="1">
      <c r="D53" s="203" t="s">
        <v>1426</v>
      </c>
      <c r="E53" s="204" t="s">
        <v>1474</v>
      </c>
      <c r="F53" s="205">
        <f>ROUND(SUMIF('CF.1'!$F:$F,'CF(공)_1.0'!E53,'CF.1'!$T:$T),0)</f>
        <v>-15000000</v>
      </c>
      <c r="G53" s="205">
        <v>0</v>
      </c>
      <c r="H53" s="206">
        <v>0</v>
      </c>
      <c r="I53" s="210"/>
      <c r="J53" s="186"/>
      <c r="K53" s="186"/>
      <c r="L53" s="186"/>
      <c r="M53" s="186"/>
      <c r="N53" s="186"/>
      <c r="O53" s="186"/>
      <c r="P53"/>
    </row>
    <row r="54" spans="4:16" s="211" customFormat="1" ht="18" customHeight="1">
      <c r="D54" s="203" t="s">
        <v>1427</v>
      </c>
      <c r="E54" s="204" t="s">
        <v>1475</v>
      </c>
      <c r="F54" s="205">
        <f>ROUND(SUMIF('CF.1'!$F:$F,'CF(공)_1.0'!E54,'CF.1'!$T:$T),0)</f>
        <v>-2111989263</v>
      </c>
      <c r="G54" s="205">
        <v>-1216244486</v>
      </c>
      <c r="H54" s="206">
        <v>-1324879788</v>
      </c>
      <c r="I54" s="210"/>
      <c r="J54" s="186"/>
      <c r="K54" s="186"/>
      <c r="L54" s="186"/>
      <c r="M54" s="186"/>
      <c r="N54" s="186"/>
      <c r="O54" s="186"/>
      <c r="P54"/>
    </row>
    <row r="55" spans="4:16" s="211" customFormat="1" ht="18" customHeight="1">
      <c r="D55" s="195" t="s">
        <v>1428</v>
      </c>
      <c r="E55" s="196" t="s">
        <v>1009</v>
      </c>
      <c r="F55" s="197">
        <f>ROUND(SUMIF('CF.1'!$F:$F,'CF(공)_1.0'!E55,'CF.1'!$T:$T),0)</f>
        <v>603439853</v>
      </c>
      <c r="G55" s="208">
        <v>1450087305</v>
      </c>
      <c r="H55" s="209">
        <v>768265231</v>
      </c>
      <c r="I55" s="210"/>
      <c r="J55" s="186"/>
      <c r="K55" s="186"/>
      <c r="L55" s="186"/>
      <c r="M55" s="186"/>
      <c r="N55" s="186"/>
      <c r="O55" s="186"/>
      <c r="P55"/>
    </row>
    <row r="56" spans="4:16" s="187" customFormat="1" ht="18" customHeight="1">
      <c r="D56" s="195" t="s">
        <v>1429</v>
      </c>
      <c r="E56" s="196" t="s">
        <v>1011</v>
      </c>
      <c r="F56" s="197">
        <f>ROUND(SUMIF('CF.1'!$F:$F,'CF(공)_1.0'!E56,'CF.1'!$T:$T),0)</f>
        <v>-172075657</v>
      </c>
      <c r="G56" s="208">
        <v>-46867293</v>
      </c>
      <c r="H56" s="209">
        <v>-75990852</v>
      </c>
      <c r="I56" s="187" t="b">
        <f>'CF.1'!T181-F59=0</f>
        <v>1</v>
      </c>
      <c r="J56" s="186"/>
      <c r="K56" s="186"/>
      <c r="L56" s="186"/>
      <c r="M56" s="186"/>
      <c r="N56" s="186"/>
      <c r="O56" s="186"/>
      <c r="P56"/>
    </row>
    <row r="57" spans="4:16" s="187" customFormat="1" ht="18" customHeight="1">
      <c r="D57" s="195" t="s">
        <v>1430</v>
      </c>
      <c r="E57" s="196" t="s">
        <v>1013</v>
      </c>
      <c r="F57" s="197">
        <f>ROUND(SUMIF('CF.1'!$F:$F,'CF(공)_1.0'!E57,'CF.1'!$T:$T),0)</f>
        <v>90170635</v>
      </c>
      <c r="G57" s="208">
        <v>-870491738</v>
      </c>
      <c r="H57" s="209">
        <v>-1045098540</v>
      </c>
      <c r="I57" s="187">
        <f>'CF.1'!T181-F59-0</f>
        <v>0</v>
      </c>
      <c r="J57" s="186"/>
      <c r="K57" s="186"/>
      <c r="L57" s="186"/>
      <c r="M57" s="186"/>
      <c r="N57" s="186"/>
      <c r="O57" s="186"/>
      <c r="P57"/>
    </row>
    <row r="58" spans="4:16" ht="18" customHeight="1">
      <c r="D58" s="195" t="s">
        <v>2141</v>
      </c>
      <c r="E58" s="196" t="s">
        <v>2142</v>
      </c>
      <c r="F58" s="197">
        <f>ROUND(SUMIF('CF.1'!$F:$F,'CF(공)_1.0'!E58,'CF.1'!$T:$T),0)</f>
        <v>0</v>
      </c>
      <c r="G58" s="208"/>
      <c r="H58" s="209"/>
      <c r="J58" s="186"/>
      <c r="K58" s="186"/>
      <c r="L58" s="186"/>
      <c r="M58" s="186"/>
      <c r="N58" s="186"/>
      <c r="O58" s="186"/>
      <c r="P58"/>
    </row>
    <row r="59" spans="4:16" ht="18" customHeight="1">
      <c r="D59" s="191" t="s">
        <v>1431</v>
      </c>
      <c r="E59" s="192" t="s">
        <v>1431</v>
      </c>
      <c r="F59" s="193">
        <f>F60+F69</f>
        <v>-2470877528</v>
      </c>
      <c r="G59" s="193">
        <f>G60+G69</f>
        <v>-2595990545</v>
      </c>
      <c r="H59" s="194">
        <f>H60+H69</f>
        <v>-10169433987</v>
      </c>
      <c r="J59" s="186"/>
      <c r="K59" s="186"/>
      <c r="L59" s="186"/>
      <c r="M59" s="186"/>
      <c r="N59" s="186"/>
      <c r="O59" s="186"/>
      <c r="P59"/>
    </row>
    <row r="60" spans="4:16" ht="18" customHeight="1">
      <c r="D60" s="199" t="s">
        <v>1432</v>
      </c>
      <c r="E60" s="200" t="s">
        <v>1476</v>
      </c>
      <c r="F60" s="201">
        <f>SUM(F61:F68)</f>
        <v>2032106200</v>
      </c>
      <c r="G60" s="201">
        <f>SUM(G61:G68)</f>
        <v>5567041599</v>
      </c>
      <c r="H60" s="207">
        <f>SUM(H61:H68)</f>
        <v>61819543667</v>
      </c>
      <c r="J60" s="186"/>
      <c r="K60" s="186"/>
      <c r="L60" s="186"/>
      <c r="M60" s="186"/>
      <c r="N60" s="186"/>
      <c r="O60" s="186"/>
      <c r="P60"/>
    </row>
    <row r="61" spans="4:16" ht="18" customHeight="1">
      <c r="D61" s="203" t="s">
        <v>1433</v>
      </c>
      <c r="E61" s="204" t="s">
        <v>1477</v>
      </c>
      <c r="F61" s="205">
        <f>ROUND(SUMIF('CF.1'!$F:$F,'CF(공)_1.0'!E61,'CF.1'!$T:$T),0)</f>
        <v>347340000</v>
      </c>
      <c r="G61" s="205">
        <v>0</v>
      </c>
      <c r="H61" s="206">
        <v>0</v>
      </c>
      <c r="J61" s="186"/>
      <c r="K61" s="186"/>
      <c r="L61" s="186"/>
      <c r="M61" s="186"/>
      <c r="N61" s="186"/>
      <c r="O61" s="186"/>
      <c r="P61"/>
    </row>
    <row r="62" spans="4:16" ht="18" customHeight="1">
      <c r="D62" s="203" t="s">
        <v>1434</v>
      </c>
      <c r="E62" s="204" t="s">
        <v>1375</v>
      </c>
      <c r="F62" s="205">
        <f>ROUND(SUMIF('CF.1'!$F:$F,'CF(공)_1.0'!E62,'CF.1'!$T:$T),0)</f>
        <v>1677388000</v>
      </c>
      <c r="G62" s="205">
        <v>171745000</v>
      </c>
      <c r="H62" s="206">
        <v>196574806</v>
      </c>
      <c r="J62" s="186"/>
      <c r="K62" s="186"/>
      <c r="L62" s="186"/>
      <c r="M62" s="186"/>
      <c r="N62" s="186"/>
      <c r="O62" s="186"/>
      <c r="P62"/>
    </row>
    <row r="63" spans="4:16" ht="18" customHeight="1">
      <c r="D63" s="203" t="s">
        <v>1435</v>
      </c>
      <c r="E63" s="204" t="s">
        <v>1378</v>
      </c>
      <c r="F63" s="205">
        <f>ROUND(SUMIF('CF.1'!$F:$F,'CF(공)_1.0'!E63,'CF.1'!$T:$T),0)</f>
        <v>5000000</v>
      </c>
      <c r="G63" s="205">
        <v>726000</v>
      </c>
      <c r="H63" s="206">
        <v>18000000</v>
      </c>
      <c r="J63" s="186"/>
      <c r="K63" s="186"/>
      <c r="L63" s="186"/>
      <c r="M63" s="186"/>
      <c r="N63" s="186"/>
      <c r="O63" s="186"/>
      <c r="P63"/>
    </row>
    <row r="64" spans="4:16" ht="18" customHeight="1">
      <c r="D64" s="203" t="s">
        <v>1436</v>
      </c>
      <c r="E64" s="204" t="s">
        <v>1478</v>
      </c>
      <c r="F64" s="205">
        <f>ROUND(SUMIF('CF.1'!$F:$F,'CF(공)_1.0'!E64,'CF.1'!$T:$T),0)</f>
        <v>0</v>
      </c>
      <c r="G64" s="205">
        <v>0</v>
      </c>
      <c r="H64" s="206">
        <v>0</v>
      </c>
      <c r="J64" s="186"/>
      <c r="K64" s="186"/>
      <c r="L64" s="186"/>
      <c r="M64" s="186"/>
      <c r="N64" s="186"/>
      <c r="O64" s="186"/>
      <c r="P64"/>
    </row>
    <row r="65" spans="4:15" ht="18" customHeight="1">
      <c r="D65" s="203" t="s">
        <v>1437</v>
      </c>
      <c r="E65" s="204" t="s">
        <v>1479</v>
      </c>
      <c r="F65" s="205">
        <f>ROUND(SUMIF('CF.1'!$F:$F,'CF(공)_1.0'!E65,'CF.1'!$T:$T),0)</f>
        <v>0</v>
      </c>
      <c r="G65" s="205">
        <v>5388699833</v>
      </c>
      <c r="H65" s="206">
        <v>61586457593</v>
      </c>
      <c r="J65" s="186"/>
      <c r="K65" s="186"/>
      <c r="L65" s="186"/>
      <c r="M65" s="186"/>
      <c r="N65" s="186"/>
      <c r="O65" s="186"/>
    </row>
    <row r="66" spans="4:15" s="187" customFormat="1" ht="18" customHeight="1">
      <c r="D66" s="203" t="s">
        <v>1438</v>
      </c>
      <c r="E66" s="204" t="s">
        <v>1480</v>
      </c>
      <c r="F66" s="205">
        <f>ROUND(SUMIF('CF.1'!$F:$F,'CF(공)_1.0'!E66,'CF.1'!$T:$T),0)</f>
        <v>2378200</v>
      </c>
      <c r="G66" s="205">
        <v>5870766</v>
      </c>
      <c r="H66" s="206">
        <v>9545268</v>
      </c>
      <c r="J66" s="186"/>
      <c r="K66" s="186"/>
      <c r="L66" s="186"/>
      <c r="M66" s="186"/>
      <c r="N66" s="186"/>
      <c r="O66" s="186"/>
    </row>
    <row r="67" spans="4:15" ht="18" customHeight="1">
      <c r="D67" s="203" t="s">
        <v>1439</v>
      </c>
      <c r="E67" s="204" t="s">
        <v>1481</v>
      </c>
      <c r="F67" s="205">
        <f>ROUND(SUMIF('CF.1'!$F:$F,'CF(공)_1.0'!E67,'CF.1'!$T:$T),0)</f>
        <v>0</v>
      </c>
      <c r="G67" s="205">
        <v>0</v>
      </c>
      <c r="H67" s="206">
        <v>8966000</v>
      </c>
      <c r="J67" s="186"/>
      <c r="K67" s="186"/>
      <c r="L67" s="186"/>
      <c r="M67" s="186"/>
      <c r="N67" s="186"/>
      <c r="O67" s="186"/>
    </row>
    <row r="68" spans="4:15" ht="18" customHeight="1">
      <c r="D68" s="203" t="s">
        <v>1440</v>
      </c>
      <c r="E68" s="204" t="s">
        <v>1482</v>
      </c>
      <c r="F68" s="205">
        <f>ROUND(SUMIF('CF.1'!$F:$F,'CF(공)_1.0'!E68,'CF.1'!$T:$T),0)</f>
        <v>0</v>
      </c>
      <c r="G68" s="205">
        <v>0</v>
      </c>
      <c r="H68" s="206">
        <v>0</v>
      </c>
      <c r="J68" s="186"/>
      <c r="K68" s="186"/>
      <c r="L68" s="186"/>
      <c r="M68" s="186"/>
      <c r="N68" s="186"/>
      <c r="O68" s="186"/>
    </row>
    <row r="69" spans="4:15" ht="18" customHeight="1">
      <c r="D69" s="199" t="s">
        <v>1441</v>
      </c>
      <c r="E69" s="200" t="s">
        <v>1483</v>
      </c>
      <c r="F69" s="201">
        <f>SUM(F70:F83)</f>
        <v>-4502983728</v>
      </c>
      <c r="G69" s="201">
        <f>SUM(G70:G83)</f>
        <v>-8163032144</v>
      </c>
      <c r="H69" s="207">
        <f>SUM(H70:H83)</f>
        <v>-71988977654</v>
      </c>
      <c r="J69" s="186"/>
      <c r="K69" s="186"/>
      <c r="L69" s="186"/>
      <c r="M69" s="186"/>
      <c r="N69" s="186"/>
      <c r="O69" s="186"/>
    </row>
    <row r="70" spans="4:15" ht="18" customHeight="1">
      <c r="D70" s="203" t="s">
        <v>1442</v>
      </c>
      <c r="E70" s="204" t="s">
        <v>1130</v>
      </c>
      <c r="F70" s="205">
        <f>ROUND(SUMIF('CF.1'!$F:$F,'CF(공)_1.0'!E70,'CF.1'!$T:$T),0)</f>
        <v>0</v>
      </c>
      <c r="G70" s="205">
        <v>0</v>
      </c>
      <c r="H70" s="206">
        <v>0</v>
      </c>
      <c r="J70" s="186"/>
      <c r="K70" s="186"/>
      <c r="L70" s="186"/>
      <c r="M70" s="186"/>
      <c r="N70" s="186"/>
      <c r="O70" s="186"/>
    </row>
    <row r="71" spans="4:15" ht="18" customHeight="1">
      <c r="D71" s="203" t="s">
        <v>1845</v>
      </c>
      <c r="E71" s="204" t="s">
        <v>1138</v>
      </c>
      <c r="F71" s="205">
        <f>ROUND(SUMIF('CF.1'!$F:$F,'CF(공)_1.0'!E71,'CF.1'!$T:$T),0)</f>
        <v>0</v>
      </c>
      <c r="G71" s="205">
        <v>-352599000</v>
      </c>
      <c r="H71" s="206">
        <v>0</v>
      </c>
      <c r="J71" s="186"/>
      <c r="K71" s="186"/>
      <c r="L71" s="186"/>
      <c r="M71" s="186"/>
      <c r="N71" s="186"/>
      <c r="O71" s="186"/>
    </row>
    <row r="72" spans="4:15" ht="18" customHeight="1">
      <c r="D72" s="203" t="s">
        <v>1443</v>
      </c>
      <c r="E72" s="204" t="s">
        <v>1374</v>
      </c>
      <c r="F72" s="205">
        <f>ROUND(SUMIF('CF.1'!$F:$F,'CF(공)_1.0'!E72,'CF.1'!$T:$T),0)</f>
        <v>-1499086000</v>
      </c>
      <c r="G72" s="205">
        <v>-317188000</v>
      </c>
      <c r="H72" s="206">
        <v>-20379757</v>
      </c>
      <c r="J72" s="186"/>
      <c r="K72" s="186"/>
      <c r="L72" s="186"/>
      <c r="M72" s="186"/>
      <c r="N72" s="186"/>
      <c r="O72" s="186"/>
    </row>
    <row r="73" spans="4:15" ht="18" customHeight="1">
      <c r="D73" s="203" t="s">
        <v>1524</v>
      </c>
      <c r="E73" s="204" t="s">
        <v>1523</v>
      </c>
      <c r="F73" s="205">
        <f>ROUND(SUMIF('CF.1'!$F:$F,'CF(공)_1.0'!E73,'CF.1'!$T:$T),0)</f>
        <v>0</v>
      </c>
      <c r="G73" s="205">
        <v>-105000000</v>
      </c>
      <c r="H73" s="206">
        <v>0</v>
      </c>
      <c r="J73" s="186"/>
      <c r="K73" s="186"/>
      <c r="L73" s="186"/>
      <c r="M73" s="186"/>
      <c r="N73" s="186"/>
      <c r="O73" s="186"/>
    </row>
    <row r="74" spans="4:15" ht="18" customHeight="1">
      <c r="D74" s="203" t="s">
        <v>1793</v>
      </c>
      <c r="E74" s="204" t="s">
        <v>1792</v>
      </c>
      <c r="F74" s="205">
        <f>ROUND(SUMIF('CF.1'!$F:$F,'CF(공)_1.0'!E74,'CF.1'!$T:$T),0)</f>
        <v>0</v>
      </c>
      <c r="G74" s="205">
        <v>0</v>
      </c>
      <c r="H74" s="206">
        <v>0</v>
      </c>
      <c r="J74" s="186"/>
      <c r="K74" s="186"/>
      <c r="L74" s="186"/>
      <c r="M74" s="186"/>
      <c r="N74" s="186"/>
      <c r="O74" s="186"/>
    </row>
    <row r="75" spans="4:15" ht="18" customHeight="1">
      <c r="D75" s="203" t="s">
        <v>1790</v>
      </c>
      <c r="E75" s="204" t="s">
        <v>1789</v>
      </c>
      <c r="F75" s="205">
        <f>ROUND(SUMIF('CF.1'!$F:$F,'CF(공)_1.0'!E75,'CF.1'!$T:$T),0)</f>
        <v>0</v>
      </c>
      <c r="G75" s="205">
        <v>0</v>
      </c>
      <c r="H75" s="206">
        <v>0</v>
      </c>
      <c r="J75" s="186"/>
      <c r="K75" s="186"/>
      <c r="L75" s="186"/>
      <c r="M75" s="186"/>
      <c r="N75" s="186"/>
      <c r="O75" s="186"/>
    </row>
    <row r="76" spans="4:15" ht="18" customHeight="1">
      <c r="D76" s="203" t="s">
        <v>1444</v>
      </c>
      <c r="E76" s="204" t="s">
        <v>1484</v>
      </c>
      <c r="F76" s="205">
        <f>ROUND(SUMIF('CF.1'!$F:$F,'CF(공)_1.0'!E76,'CF.1'!$T:$T),0)</f>
        <v>0</v>
      </c>
      <c r="G76" s="205">
        <v>0</v>
      </c>
      <c r="H76" s="206">
        <v>0</v>
      </c>
      <c r="J76" s="186"/>
      <c r="K76" s="186"/>
      <c r="L76" s="186"/>
      <c r="M76" s="186"/>
      <c r="N76" s="186"/>
      <c r="O76" s="186"/>
    </row>
    <row r="77" spans="4:15" ht="18" customHeight="1">
      <c r="D77" s="203" t="s">
        <v>1445</v>
      </c>
      <c r="E77" s="204" t="s">
        <v>1485</v>
      </c>
      <c r="F77" s="205">
        <f>ROUND(SUMIF('CF.1'!$F:$F,'CF(공)_1.0'!E77,'CF.1'!$T:$T),0)</f>
        <v>0</v>
      </c>
      <c r="G77" s="205">
        <v>0</v>
      </c>
      <c r="H77" s="206">
        <v>-47900002834</v>
      </c>
      <c r="J77" s="186"/>
      <c r="K77" s="186"/>
      <c r="L77" s="186"/>
      <c r="M77" s="186"/>
      <c r="N77" s="186"/>
      <c r="O77" s="186"/>
    </row>
    <row r="78" spans="4:15" ht="18" customHeight="1">
      <c r="D78" s="203" t="s">
        <v>1446</v>
      </c>
      <c r="E78" s="204" t="s">
        <v>1486</v>
      </c>
      <c r="F78" s="205">
        <f>ROUND(SUMIF('CF.1'!$F:$F,'CF(공)_1.0'!E78,'CF.1'!$T:$T),0)</f>
        <v>0</v>
      </c>
      <c r="G78" s="205">
        <v>0</v>
      </c>
      <c r="H78" s="206">
        <v>0</v>
      </c>
      <c r="J78" s="186"/>
      <c r="K78" s="186"/>
      <c r="L78" s="186"/>
      <c r="M78" s="186"/>
      <c r="N78" s="186"/>
      <c r="O78" s="186"/>
    </row>
    <row r="79" spans="4:15" ht="18" customHeight="1">
      <c r="D79" s="203" t="s">
        <v>1528</v>
      </c>
      <c r="E79" s="204" t="s">
        <v>1527</v>
      </c>
      <c r="F79" s="205">
        <f>ROUND(SUMIF('CF.1'!$F:$F,'CF(공)_1.0'!E79,'CF.1'!$T:$T),0)</f>
        <v>0</v>
      </c>
      <c r="G79" s="205">
        <v>0</v>
      </c>
      <c r="H79" s="206">
        <v>-1211867769</v>
      </c>
    </row>
    <row r="80" spans="4:15" ht="18" customHeight="1">
      <c r="D80" s="203" t="s">
        <v>1844</v>
      </c>
      <c r="E80" s="204" t="s">
        <v>1839</v>
      </c>
      <c r="F80" s="205">
        <f>ROUND(SUMIF('CF.1'!$F:$F,'CF(공)_1.0'!E80,'CF.1'!$T:$T),0)</f>
        <v>0</v>
      </c>
      <c r="G80" s="205">
        <v>-926598559</v>
      </c>
      <c r="H80" s="206">
        <v>0</v>
      </c>
    </row>
    <row r="81" spans="4:14" s="187" customFormat="1" ht="18" customHeight="1">
      <c r="D81" s="203" t="s">
        <v>1447</v>
      </c>
      <c r="E81" s="204" t="s">
        <v>1487</v>
      </c>
      <c r="F81" s="205">
        <f>ROUND(SUMIF('CF.1'!$F:$F,'CF(공)_1.0'!E81,'CF.1'!$T:$T),0)</f>
        <v>-1030872652</v>
      </c>
      <c r="G81" s="205">
        <v>-957015654</v>
      </c>
      <c r="H81" s="206">
        <v>-1999782244</v>
      </c>
      <c r="I81" s="187" t="b">
        <f>'CF.1'!T300=F84</f>
        <v>1</v>
      </c>
      <c r="J81" s="7"/>
      <c r="K81" s="7"/>
      <c r="L81" s="7"/>
      <c r="M81" s="7"/>
      <c r="N81" s="7"/>
    </row>
    <row r="82" spans="4:14" ht="18" customHeight="1">
      <c r="D82" s="203" t="s">
        <v>1448</v>
      </c>
      <c r="E82" s="204" t="s">
        <v>1488</v>
      </c>
      <c r="F82" s="205">
        <f>ROUND(SUMIF('CF.1'!$F:$F,'CF(공)_1.0'!E82,'CF.1'!$T:$T),0)</f>
        <v>-1973025076</v>
      </c>
      <c r="G82" s="205">
        <v>-4704630931</v>
      </c>
      <c r="H82" s="206">
        <v>-17536945050</v>
      </c>
    </row>
    <row r="83" spans="4:14" ht="18" customHeight="1">
      <c r="D83" s="203" t="s">
        <v>1526</v>
      </c>
      <c r="E83" s="204" t="s">
        <v>1525</v>
      </c>
      <c r="F83" s="205">
        <f>ROUND(SUMIF('CF.1'!$F:$F,'CF(공)_1.0'!E83,'CF.1'!$T:$T),0)</f>
        <v>0</v>
      </c>
      <c r="G83" s="205">
        <v>-800000000</v>
      </c>
      <c r="H83" s="206">
        <v>-3320000000</v>
      </c>
    </row>
    <row r="84" spans="4:14" ht="18" customHeight="1">
      <c r="D84" s="191" t="s">
        <v>1449</v>
      </c>
      <c r="E84" s="192" t="s">
        <v>1449</v>
      </c>
      <c r="F84" s="193">
        <f>F85+F88</f>
        <v>-2329330151</v>
      </c>
      <c r="G84" s="193">
        <f>G85+G88</f>
        <v>-2965409032</v>
      </c>
      <c r="H84" s="194">
        <f>H85+H88</f>
        <v>68471782850</v>
      </c>
    </row>
    <row r="85" spans="4:14" s="187" customFormat="1" ht="18" customHeight="1">
      <c r="D85" s="199" t="s">
        <v>1450</v>
      </c>
      <c r="E85" s="200" t="s">
        <v>1489</v>
      </c>
      <c r="F85" s="201">
        <f>SUM(F86:F87)</f>
        <v>0</v>
      </c>
      <c r="G85" s="201">
        <f>SUM(G86:G87)</f>
        <v>0</v>
      </c>
      <c r="H85" s="207">
        <f>SUM(H86:H87)</f>
        <v>69971782850</v>
      </c>
      <c r="J85" s="7"/>
      <c r="K85" s="7"/>
      <c r="L85" s="7"/>
      <c r="M85" s="7"/>
      <c r="N85" s="7"/>
    </row>
    <row r="86" spans="4:14" ht="18" customHeight="1">
      <c r="D86" s="203" t="s">
        <v>1451</v>
      </c>
      <c r="E86" s="204" t="s">
        <v>533</v>
      </c>
      <c r="F86" s="205">
        <f>ROUND(SUMIF('CF.1'!$F:$F,'CF(공)_1.0'!E86,'CF.1'!$T:$T),0)</f>
        <v>0</v>
      </c>
      <c r="G86" s="205">
        <v>0</v>
      </c>
      <c r="H86" s="206">
        <v>69971782850</v>
      </c>
    </row>
    <row r="87" spans="4:14" ht="18" customHeight="1">
      <c r="D87" s="203" t="s">
        <v>1887</v>
      </c>
      <c r="E87" s="204" t="s">
        <v>1245</v>
      </c>
      <c r="F87" s="205">
        <f>ROUND(SUMIF('CF.1'!$F:$F,'CF(공)_1.0'!E87,'CF.1'!$T:$T),0)</f>
        <v>0</v>
      </c>
      <c r="G87" s="205">
        <v>0</v>
      </c>
      <c r="H87" s="206">
        <v>0</v>
      </c>
    </row>
    <row r="88" spans="4:14" ht="18" customHeight="1">
      <c r="D88" s="199" t="s">
        <v>1452</v>
      </c>
      <c r="E88" s="200" t="s">
        <v>1490</v>
      </c>
      <c r="F88" s="201">
        <f>SUM(F89:F92)</f>
        <v>-2329330151</v>
      </c>
      <c r="G88" s="201">
        <f>SUM(G89:G92)</f>
        <v>-2965409032</v>
      </c>
      <c r="H88" s="207">
        <f>SUM(H89:H92)</f>
        <v>-1500000000</v>
      </c>
      <c r="J88" s="187"/>
      <c r="K88" s="187"/>
      <c r="L88" s="187"/>
      <c r="M88" s="187"/>
      <c r="N88" s="187"/>
    </row>
    <row r="89" spans="4:14" ht="18" customHeight="1">
      <c r="D89" s="203" t="s">
        <v>1453</v>
      </c>
      <c r="E89" s="204" t="s">
        <v>1297</v>
      </c>
      <c r="F89" s="205">
        <f>ROUND(SUMIF('CF.1'!$F:$F,'CF(공)_1.0'!E89,'CF.1'!$T:$T),0)</f>
        <v>0</v>
      </c>
      <c r="G89" s="205">
        <v>0</v>
      </c>
      <c r="H89" s="206">
        <v>0</v>
      </c>
    </row>
    <row r="90" spans="4:14" s="187" customFormat="1" ht="18" customHeight="1">
      <c r="D90" s="203" t="s">
        <v>1529</v>
      </c>
      <c r="E90" s="204" t="s">
        <v>1283</v>
      </c>
      <c r="F90" s="205">
        <f>ROUND(SUMIF('CF.1'!$F:$F,'CF(공)_1.0'!E90,'CF.1'!$T:$T),0)</f>
        <v>0</v>
      </c>
      <c r="G90" s="205">
        <v>-465735790</v>
      </c>
      <c r="H90" s="206">
        <v>-1500000000</v>
      </c>
      <c r="J90" s="7"/>
      <c r="K90" s="7"/>
      <c r="L90" s="7"/>
      <c r="M90" s="7"/>
      <c r="N90" s="7"/>
    </row>
    <row r="91" spans="4:14" s="187" customFormat="1" ht="18" customHeight="1">
      <c r="D91" s="203" t="s">
        <v>1787</v>
      </c>
      <c r="E91" s="204" t="s">
        <v>1786</v>
      </c>
      <c r="F91" s="205">
        <f>ROUND(SUMIF('CF.1'!$F:$F,'CF(공)_1.0'!E91,'CF.1'!$T:$T),0)</f>
        <v>-2329330151</v>
      </c>
      <c r="G91" s="205">
        <v>-2491608053</v>
      </c>
      <c r="H91" s="206">
        <v>0</v>
      </c>
      <c r="J91" s="7"/>
      <c r="K91" s="7"/>
      <c r="L91" s="7"/>
      <c r="M91" s="7"/>
      <c r="N91" s="7"/>
    </row>
    <row r="92" spans="4:14" s="187" customFormat="1" ht="18" customHeight="1">
      <c r="D92" s="203" t="s">
        <v>1788</v>
      </c>
      <c r="E92" s="204" t="s">
        <v>1315</v>
      </c>
      <c r="F92" s="205">
        <f>ROUND(SUMIF('CF.1'!$F:$F,'CF(공)_1.0'!E92,'CF.1'!$T:$T),0)</f>
        <v>0</v>
      </c>
      <c r="G92" s="205">
        <v>-8065189</v>
      </c>
      <c r="H92" s="206">
        <v>0</v>
      </c>
    </row>
    <row r="93" spans="4:14" s="187" customFormat="1" ht="18" customHeight="1">
      <c r="D93" s="191" t="s">
        <v>1454</v>
      </c>
      <c r="E93" s="192" t="s">
        <v>1454</v>
      </c>
      <c r="F93" s="193">
        <f>F84+F59+F6</f>
        <v>10423011723</v>
      </c>
      <c r="G93" s="193">
        <f>G84+G59+G6</f>
        <v>-6949094449</v>
      </c>
      <c r="H93" s="194">
        <f>H84+H59+H6</f>
        <v>71943965639</v>
      </c>
      <c r="J93" s="7"/>
      <c r="K93" s="7"/>
      <c r="L93" s="7"/>
      <c r="M93" s="7"/>
      <c r="N93" s="7"/>
    </row>
    <row r="94" spans="4:14" ht="18" customHeight="1">
      <c r="D94" s="191" t="s">
        <v>1455</v>
      </c>
      <c r="E94" s="192" t="s">
        <v>1455</v>
      </c>
      <c r="F94" s="193">
        <f>G96</f>
        <v>88901392676</v>
      </c>
      <c r="G94" s="193">
        <v>95653360723</v>
      </c>
      <c r="H94" s="212">
        <v>22920303979</v>
      </c>
    </row>
    <row r="95" spans="4:14" ht="18" customHeight="1">
      <c r="D95" s="191" t="s">
        <v>1456</v>
      </c>
      <c r="E95" s="213" t="s">
        <v>1456</v>
      </c>
      <c r="F95" s="193">
        <f>'CF.1'!T345</f>
        <v>-2053197267</v>
      </c>
      <c r="G95" s="193">
        <v>197126402</v>
      </c>
      <c r="H95" s="212">
        <v>789091105</v>
      </c>
    </row>
    <row r="96" spans="4:14" ht="18" customHeight="1" thickBot="1">
      <c r="D96" s="214" t="s">
        <v>1457</v>
      </c>
      <c r="E96" s="215" t="s">
        <v>1457</v>
      </c>
      <c r="F96" s="216">
        <f>SUM(F93:F95)</f>
        <v>97271207132</v>
      </c>
      <c r="G96" s="216">
        <f>SUM(G93:G95)</f>
        <v>88901392676</v>
      </c>
      <c r="H96" s="217">
        <f>SUM(H93:H95)</f>
        <v>95653360723</v>
      </c>
    </row>
    <row r="97" spans="6:14" ht="18" customHeight="1">
      <c r="F97" s="7" t="b">
        <f>'CF.1'!T355=F96</f>
        <v>1</v>
      </c>
      <c r="H97" s="187"/>
      <c r="J97" s="187"/>
      <c r="K97" s="187"/>
      <c r="L97" s="187"/>
      <c r="M97" s="187"/>
      <c r="N97" s="187"/>
    </row>
    <row r="98" spans="6:14" ht="18" customHeight="1">
      <c r="J98" s="187"/>
      <c r="K98" s="187"/>
      <c r="L98" s="187"/>
      <c r="M98" s="187"/>
      <c r="N98" s="187"/>
    </row>
    <row r="99" spans="6:14" ht="18" customHeight="1">
      <c r="J99" s="187"/>
      <c r="K99" s="187"/>
      <c r="L99" s="187"/>
      <c r="M99" s="187"/>
      <c r="N99" s="187"/>
    </row>
    <row r="100" spans="6:14" ht="18" customHeight="1">
      <c r="J100" s="187"/>
      <c r="K100" s="187"/>
      <c r="L100" s="187"/>
      <c r="M100" s="187"/>
      <c r="N100" s="187"/>
    </row>
  </sheetData>
  <autoFilter ref="D5:H97" xr:uid="{00000000-0009-0000-0000-00000B000000}"/>
  <phoneticPr fontId="2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</sheetPr>
  <dimension ref="A3:Y171"/>
  <sheetViews>
    <sheetView showGridLines="0" zoomScaleNormal="100" workbookViewId="0">
      <pane xSplit="5" ySplit="4" topLeftCell="F146" activePane="bottomRight" state="frozen"/>
      <selection activeCell="J13" sqref="J13"/>
      <selection pane="topRight" activeCell="J13" sqref="J13"/>
      <selection pane="bottomLeft" activeCell="J13" sqref="J13"/>
      <selection pane="bottomRight" activeCell="J101" sqref="J101"/>
    </sheetView>
  </sheetViews>
  <sheetFormatPr defaultColWidth="8.75" defaultRowHeight="18" customHeight="1"/>
  <cols>
    <col min="1" max="3" width="2.375" style="211" customWidth="1"/>
    <col min="4" max="4" width="4.75" style="608" customWidth="1"/>
    <col min="5" max="5" width="9.125" style="706" customWidth="1"/>
    <col min="6" max="6" width="32.5" style="610" bestFit="1" customWidth="1"/>
    <col min="7" max="7" width="9.875" style="609" customWidth="1"/>
    <col min="8" max="8" width="7.5" style="609" customWidth="1"/>
    <col min="9" max="9" width="7" style="609" customWidth="1"/>
    <col min="10" max="10" width="20.75" style="608" customWidth="1"/>
    <col min="11" max="11" width="8.375" style="609" customWidth="1"/>
    <col min="12" max="12" width="20.75" style="611" customWidth="1"/>
    <col min="13" max="13" width="2.25" style="7" customWidth="1"/>
    <col min="14" max="14" width="8.75" style="7"/>
    <col min="15" max="15" width="13.875" style="7" bestFit="1" customWidth="1"/>
    <col min="16" max="16" width="26.125" style="7" customWidth="1"/>
    <col min="17" max="17" width="15.875" style="612" hidden="1" customWidth="1"/>
    <col min="18" max="18" width="20.375" style="612" hidden="1" customWidth="1"/>
    <col min="19" max="19" width="4.25" style="613" customWidth="1"/>
    <col min="20" max="20" width="8.875" style="7" bestFit="1" customWidth="1"/>
    <col min="21" max="21" width="12.125" style="7" bestFit="1" customWidth="1"/>
    <col min="22" max="22" width="15.5" style="7" bestFit="1" customWidth="1"/>
    <col min="23" max="23" width="8.75" style="7"/>
    <col min="24" max="24" width="15" style="7" bestFit="1" customWidth="1"/>
    <col min="25" max="25" width="9.625" style="7" bestFit="1" customWidth="1"/>
    <col min="26" max="16384" width="8.75" style="7"/>
  </cols>
  <sheetData>
    <row r="3" spans="1:25" s="412" customFormat="1" ht="18" customHeight="1" thickBot="1">
      <c r="A3" s="614"/>
      <c r="B3" s="614"/>
      <c r="C3" s="614"/>
      <c r="D3" s="615"/>
      <c r="E3" s="700"/>
      <c r="F3" s="616"/>
      <c r="G3" s="615"/>
      <c r="H3" s="615"/>
      <c r="I3" s="615"/>
      <c r="J3" s="615">
        <f>SUM(J5:J163)</f>
        <v>0</v>
      </c>
      <c r="K3" s="615"/>
      <c r="L3" s="615">
        <f>SUM(L5:L163)</f>
        <v>0</v>
      </c>
      <c r="Q3" s="617"/>
      <c r="R3" s="617"/>
      <c r="S3" s="618"/>
      <c r="T3" s="619" t="s">
        <v>2014</v>
      </c>
    </row>
    <row r="4" spans="1:25" s="412" customFormat="1" ht="18" customHeight="1">
      <c r="A4" s="614"/>
      <c r="B4" s="614"/>
      <c r="C4" s="614"/>
      <c r="D4" s="440" t="s">
        <v>627</v>
      </c>
      <c r="E4" s="701" t="s">
        <v>628</v>
      </c>
      <c r="F4" s="441" t="s">
        <v>629</v>
      </c>
      <c r="G4" s="441" t="s">
        <v>630</v>
      </c>
      <c r="H4" s="441" t="s">
        <v>631</v>
      </c>
      <c r="I4" s="441" t="s">
        <v>632</v>
      </c>
      <c r="J4" s="441"/>
      <c r="K4" s="441" t="s">
        <v>632</v>
      </c>
      <c r="L4" s="549" t="str">
        <f>T_BS!W4</f>
        <v>2020.12.31</v>
      </c>
      <c r="Q4" s="620" t="s">
        <v>1900</v>
      </c>
      <c r="R4" s="621" t="s">
        <v>1874</v>
      </c>
      <c r="S4" s="618"/>
      <c r="T4" s="441" t="s">
        <v>628</v>
      </c>
      <c r="U4" s="441" t="s">
        <v>1963</v>
      </c>
      <c r="V4" s="441" t="s">
        <v>1964</v>
      </c>
    </row>
    <row r="5" spans="1:25" ht="18" customHeight="1">
      <c r="C5" s="211">
        <v>1</v>
      </c>
      <c r="D5" s="622" t="s">
        <v>2029</v>
      </c>
      <c r="E5" s="702">
        <v>1101</v>
      </c>
      <c r="F5" s="623" t="s">
        <v>634</v>
      </c>
      <c r="G5" s="413">
        <v>1000</v>
      </c>
      <c r="H5" s="413"/>
      <c r="I5" s="413" t="s">
        <v>474</v>
      </c>
      <c r="J5" s="7">
        <f>+L5</f>
        <v>0</v>
      </c>
      <c r="K5" s="413" t="s">
        <v>474</v>
      </c>
      <c r="L5" s="624">
        <f>ROUND(SUMIF(T_BS!$F:$F,T198_TB!E5,T_BS!$W:$W),0)+SUMIF($T$5:$T$8,E5,$V$5:$V$8)</f>
        <v>0</v>
      </c>
      <c r="N5" s="7" t="s">
        <v>0</v>
      </c>
      <c r="Q5" s="625">
        <v>145839</v>
      </c>
      <c r="R5" s="626">
        <f t="shared" ref="R5:R16" si="0">Q5-L5</f>
        <v>145839</v>
      </c>
      <c r="T5" s="712"/>
      <c r="U5" s="713"/>
      <c r="V5" s="714"/>
    </row>
    <row r="6" spans="1:25" ht="18" customHeight="1">
      <c r="C6" s="211">
        <v>1</v>
      </c>
      <c r="D6" s="622" t="s">
        <v>633</v>
      </c>
      <c r="E6" s="702">
        <v>1102</v>
      </c>
      <c r="F6" s="623" t="s">
        <v>635</v>
      </c>
      <c r="G6" s="413">
        <v>1000</v>
      </c>
      <c r="H6" s="413"/>
      <c r="I6" s="413" t="s">
        <v>474</v>
      </c>
      <c r="J6" s="7">
        <f t="shared" ref="J6:J84" si="1">+L6</f>
        <v>97271207132</v>
      </c>
      <c r="K6" s="413" t="s">
        <v>474</v>
      </c>
      <c r="L6" s="624">
        <f>ROUND(SUMIF(T_BS!$F:$F,T198_TB!E6,T_BS!$W:$W),0)+SUMIF($T$5:$T$8,E6,$V$5:$V$8)</f>
        <v>97271207132</v>
      </c>
      <c r="N6" s="7" t="s">
        <v>0</v>
      </c>
      <c r="Q6" s="625">
        <v>88901246837</v>
      </c>
      <c r="R6" s="626">
        <f t="shared" si="0"/>
        <v>-8369960295</v>
      </c>
      <c r="T6" s="712">
        <v>5402</v>
      </c>
      <c r="U6" s="713"/>
      <c r="V6" s="714">
        <f>-V7-V8</f>
        <v>359405664</v>
      </c>
    </row>
    <row r="7" spans="1:25" ht="18" customHeight="1">
      <c r="C7" s="211">
        <v>1</v>
      </c>
      <c r="D7" s="622" t="s">
        <v>633</v>
      </c>
      <c r="E7" s="702">
        <v>1501</v>
      </c>
      <c r="F7" s="623" t="s">
        <v>636</v>
      </c>
      <c r="G7" s="413">
        <v>1000</v>
      </c>
      <c r="H7" s="413"/>
      <c r="I7" s="413" t="s">
        <v>474</v>
      </c>
      <c r="J7" s="7">
        <f t="shared" si="1"/>
        <v>0</v>
      </c>
      <c r="K7" s="413" t="s">
        <v>474</v>
      </c>
      <c r="L7" s="624">
        <f>ROUND(SUMIF(T_BS!$F:$F,T198_TB!E7,T_BS!$W:$W),0)+SUMIF($T$5:$T$8,E7,$V$5:$V$8)</f>
        <v>0</v>
      </c>
      <c r="N7" s="7" t="s">
        <v>0</v>
      </c>
      <c r="Q7" s="625">
        <v>0</v>
      </c>
      <c r="R7" s="626">
        <f t="shared" si="0"/>
        <v>0</v>
      </c>
      <c r="T7" s="712">
        <v>303</v>
      </c>
      <c r="U7" s="713">
        <v>412085862</v>
      </c>
      <c r="V7" s="714">
        <v>262597527</v>
      </c>
      <c r="X7" s="7">
        <v>-22535872601</v>
      </c>
    </row>
    <row r="8" spans="1:25" s="211" customFormat="1" ht="18" customHeight="1">
      <c r="C8" s="211">
        <v>1</v>
      </c>
      <c r="D8" s="628" t="s">
        <v>633</v>
      </c>
      <c r="E8" s="703">
        <v>1201</v>
      </c>
      <c r="F8" s="629" t="s">
        <v>637</v>
      </c>
      <c r="G8" s="414">
        <v>1000</v>
      </c>
      <c r="H8" s="414"/>
      <c r="I8" s="414" t="s">
        <v>474</v>
      </c>
      <c r="J8" s="211">
        <f t="shared" si="1"/>
        <v>20096531614</v>
      </c>
      <c r="K8" s="414" t="s">
        <v>474</v>
      </c>
      <c r="L8" s="630">
        <f>ROUND(SUMIF(T_BS!$F:$F,T198_TB!E8,T_BS!$W:$W),0)+SUMIF($T$5:$T$8,E8,$V$5:$V$8)</f>
        <v>20096531614</v>
      </c>
      <c r="N8" s="211" t="s">
        <v>0</v>
      </c>
      <c r="Q8" s="625">
        <v>20359690941</v>
      </c>
      <c r="R8" s="626">
        <f t="shared" si="0"/>
        <v>263159327</v>
      </c>
      <c r="S8" s="631"/>
      <c r="T8" s="715">
        <v>703</v>
      </c>
      <c r="U8" s="713">
        <v>622003191</v>
      </c>
      <c r="V8" s="714">
        <v>-622003191</v>
      </c>
      <c r="X8" s="7">
        <f>X7+V6</f>
        <v>-22176466937</v>
      </c>
      <c r="Y8" s="7"/>
    </row>
    <row r="9" spans="1:25" s="211" customFormat="1" ht="18" customHeight="1">
      <c r="C9" s="211">
        <v>1</v>
      </c>
      <c r="D9" s="628" t="s">
        <v>633</v>
      </c>
      <c r="E9" s="703">
        <v>1202</v>
      </c>
      <c r="F9" s="629" t="s">
        <v>638</v>
      </c>
      <c r="G9" s="414">
        <v>1000</v>
      </c>
      <c r="H9" s="414"/>
      <c r="I9" s="414" t="s">
        <v>474</v>
      </c>
      <c r="J9" s="211">
        <f t="shared" si="1"/>
        <v>-1403629730</v>
      </c>
      <c r="K9" s="414" t="s">
        <v>474</v>
      </c>
      <c r="L9" s="630">
        <f>ROUND(SUMIF(T_BS!$F:$F,T198_TB!E9,T_BS!$W:$W),0)+SUMIF($T$5:$T$8,E9,$V$5:$V$8)</f>
        <v>-1403629730</v>
      </c>
      <c r="N9" s="211" t="s">
        <v>0</v>
      </c>
      <c r="Q9" s="625">
        <v>-1846788828</v>
      </c>
      <c r="R9" s="626">
        <f t="shared" si="0"/>
        <v>-443159098</v>
      </c>
      <c r="S9" s="631"/>
      <c r="T9" s="695"/>
      <c r="U9" s="695"/>
      <c r="V9" s="695"/>
      <c r="X9" s="7"/>
      <c r="Y9" s="7"/>
    </row>
    <row r="10" spans="1:25" s="211" customFormat="1" ht="18" customHeight="1">
      <c r="C10" s="211">
        <v>1</v>
      </c>
      <c r="D10" s="628" t="s">
        <v>633</v>
      </c>
      <c r="E10" s="703">
        <v>1203</v>
      </c>
      <c r="F10" s="629" t="s">
        <v>639</v>
      </c>
      <c r="G10" s="414">
        <v>1000</v>
      </c>
      <c r="H10" s="414"/>
      <c r="I10" s="414" t="s">
        <v>474</v>
      </c>
      <c r="J10" s="211">
        <f t="shared" si="1"/>
        <v>3334181925</v>
      </c>
      <c r="K10" s="414" t="s">
        <v>474</v>
      </c>
      <c r="L10" s="630">
        <f>ROUND(SUMIF(T_BS!$F:$F,T198_TB!E10,T_BS!$W:$W),0)+SUMIF($T$5:$T$8,E10,$V$5:$V$8)</f>
        <v>3334181925</v>
      </c>
      <c r="N10" s="211" t="s">
        <v>0</v>
      </c>
      <c r="Q10" s="625">
        <v>7402099394</v>
      </c>
      <c r="R10" s="626">
        <f t="shared" si="0"/>
        <v>4067917469</v>
      </c>
      <c r="S10" s="631"/>
      <c r="T10" s="695"/>
      <c r="U10" s="695"/>
      <c r="V10" s="695"/>
      <c r="X10" s="7"/>
      <c r="Y10" s="7"/>
    </row>
    <row r="11" spans="1:25" s="211" customFormat="1" ht="18" customHeight="1">
      <c r="C11" s="211">
        <v>1</v>
      </c>
      <c r="D11" s="628" t="s">
        <v>633</v>
      </c>
      <c r="E11" s="703">
        <v>2322</v>
      </c>
      <c r="F11" s="629" t="s">
        <v>1815</v>
      </c>
      <c r="G11" s="414">
        <v>1000</v>
      </c>
      <c r="H11" s="414"/>
      <c r="I11" s="414" t="s">
        <v>474</v>
      </c>
      <c r="J11" s="211">
        <f t="shared" si="1"/>
        <v>0</v>
      </c>
      <c r="K11" s="414" t="s">
        <v>474</v>
      </c>
      <c r="L11" s="630">
        <f>ROUND(SUMIF(T_BS!$F:$F,T198_TB!E11,T_BS!$W:$W),0)+SUMIF($T$5:$T$8,E11,$V$5:$V$8)</f>
        <v>0</v>
      </c>
      <c r="N11" s="211" t="s">
        <v>0</v>
      </c>
      <c r="Q11" s="625">
        <v>0</v>
      </c>
      <c r="R11" s="626">
        <f t="shared" si="0"/>
        <v>0</v>
      </c>
      <c r="S11" s="631"/>
      <c r="T11" s="695"/>
      <c r="U11" s="695"/>
      <c r="V11" s="695"/>
      <c r="X11" s="7"/>
      <c r="Y11" s="7"/>
    </row>
    <row r="12" spans="1:25" s="211" customFormat="1" ht="18" customHeight="1">
      <c r="C12" s="211">
        <v>1</v>
      </c>
      <c r="D12" s="628" t="s">
        <v>633</v>
      </c>
      <c r="E12" s="703">
        <v>2321</v>
      </c>
      <c r="F12" s="629" t="s">
        <v>1814</v>
      </c>
      <c r="G12" s="414">
        <v>1000</v>
      </c>
      <c r="H12" s="414"/>
      <c r="I12" s="414" t="s">
        <v>474</v>
      </c>
      <c r="J12" s="211">
        <f t="shared" si="1"/>
        <v>0</v>
      </c>
      <c r="K12" s="414" t="s">
        <v>474</v>
      </c>
      <c r="L12" s="630">
        <f>ROUND(SUMIF(T_BS!$F:$F,T198_TB!E12,T_BS!$W:$W),0)+SUMIF($T$5:$T$8,E12,$V$5:$V$8)</f>
        <v>0</v>
      </c>
      <c r="N12" s="211" t="s">
        <v>0</v>
      </c>
      <c r="Q12" s="625">
        <v>0</v>
      </c>
      <c r="R12" s="626">
        <f t="shared" si="0"/>
        <v>0</v>
      </c>
      <c r="S12" s="631"/>
      <c r="X12" s="7"/>
      <c r="Y12" s="7"/>
    </row>
    <row r="13" spans="1:25" s="211" customFormat="1" ht="18" customHeight="1">
      <c r="C13" s="211">
        <v>1</v>
      </c>
      <c r="D13" s="628" t="s">
        <v>633</v>
      </c>
      <c r="E13" s="703">
        <v>1221</v>
      </c>
      <c r="F13" s="629" t="s">
        <v>2017</v>
      </c>
      <c r="G13" s="414">
        <v>1000</v>
      </c>
      <c r="H13" s="414"/>
      <c r="I13" s="414" t="s">
        <v>474</v>
      </c>
      <c r="J13" s="211">
        <f>+L13</f>
        <v>0</v>
      </c>
      <c r="K13" s="414" t="s">
        <v>474</v>
      </c>
      <c r="L13" s="630">
        <f>ROUND(SUMIF(T_BS!$F:$F,T198_TB!E13,T_BS!$W:$W),0)+SUMIF($T$5:$T$8,E13,$V$5:$V$8)</f>
        <v>0</v>
      </c>
      <c r="N13" s="211" t="s">
        <v>0</v>
      </c>
      <c r="Q13" s="625">
        <v>347340000</v>
      </c>
      <c r="R13" s="626">
        <f t="shared" si="0"/>
        <v>347340000</v>
      </c>
      <c r="S13" s="631"/>
      <c r="X13" s="7"/>
      <c r="Y13" s="7"/>
    </row>
    <row r="14" spans="1:25" s="211" customFormat="1" ht="18" customHeight="1">
      <c r="C14" s="211">
        <v>1</v>
      </c>
      <c r="D14" s="628" t="s">
        <v>633</v>
      </c>
      <c r="E14" s="703">
        <v>2311</v>
      </c>
      <c r="F14" s="629" t="s">
        <v>1804</v>
      </c>
      <c r="G14" s="414">
        <v>1000</v>
      </c>
      <c r="H14" s="414"/>
      <c r="I14" s="414" t="s">
        <v>474</v>
      </c>
      <c r="J14" s="211">
        <f t="shared" si="1"/>
        <v>0</v>
      </c>
      <c r="K14" s="414" t="s">
        <v>474</v>
      </c>
      <c r="L14" s="630">
        <f>ROUND(SUMIF(T_BS!$F:$F,T198_TB!E14,T_BS!$W:$W),0)+SUMIF($T$5:$T$8,E14,$V$5:$V$8)</f>
        <v>0</v>
      </c>
      <c r="N14" s="211" t="s">
        <v>0</v>
      </c>
      <c r="Q14" s="625">
        <v>347340000</v>
      </c>
      <c r="R14" s="626">
        <f t="shared" si="0"/>
        <v>347340000</v>
      </c>
      <c r="S14" s="631"/>
      <c r="X14" s="7"/>
      <c r="Y14" s="7"/>
    </row>
    <row r="15" spans="1:25" s="211" customFormat="1" ht="18" customHeight="1">
      <c r="C15" s="211">
        <v>1</v>
      </c>
      <c r="D15" s="628" t="s">
        <v>633</v>
      </c>
      <c r="E15" s="703">
        <v>4104</v>
      </c>
      <c r="F15" s="632" t="s">
        <v>1805</v>
      </c>
      <c r="G15" s="414">
        <v>1000</v>
      </c>
      <c r="H15" s="414"/>
      <c r="I15" s="414" t="s">
        <v>474</v>
      </c>
      <c r="J15" s="211">
        <f t="shared" si="1"/>
        <v>-222809200</v>
      </c>
      <c r="K15" s="414" t="s">
        <v>474</v>
      </c>
      <c r="L15" s="630">
        <f>-ROUND(SUMIF(T_BS!$F:$F,T198_TB!E15,T_BS!$W:$W),0)+SUMIF($T$5:$T$8,15,$V$5:$V$8)</f>
        <v>-222809200</v>
      </c>
      <c r="N15" s="211" t="s">
        <v>8</v>
      </c>
      <c r="Q15" s="625">
        <v>-11500000</v>
      </c>
      <c r="R15" s="626">
        <f t="shared" si="0"/>
        <v>211309200</v>
      </c>
      <c r="S15" s="631"/>
      <c r="X15" s="7"/>
      <c r="Y15" s="7"/>
    </row>
    <row r="16" spans="1:25" s="211" customFormat="1" ht="18" customHeight="1">
      <c r="C16" s="211">
        <v>1</v>
      </c>
      <c r="D16" s="628" t="s">
        <v>633</v>
      </c>
      <c r="E16" s="703">
        <v>1208</v>
      </c>
      <c r="F16" s="629" t="s">
        <v>640</v>
      </c>
      <c r="G16" s="414">
        <v>1000</v>
      </c>
      <c r="H16" s="414"/>
      <c r="I16" s="414" t="s">
        <v>474</v>
      </c>
      <c r="J16" s="211">
        <f t="shared" si="1"/>
        <v>23124643559</v>
      </c>
      <c r="K16" s="414" t="s">
        <v>474</v>
      </c>
      <c r="L16" s="630">
        <f>ROUND(SUMIF(T_BS!$F:$F,T198_TB!E16,T_BS!$W:$W),0)+SUMIF($T$5:$T$8,E16,$V$5:$V$8)</f>
        <v>23124643559</v>
      </c>
      <c r="N16" s="211" t="s">
        <v>0</v>
      </c>
      <c r="Q16" s="625">
        <v>10374581052</v>
      </c>
      <c r="R16" s="626">
        <f t="shared" si="0"/>
        <v>-12750062507</v>
      </c>
      <c r="S16" s="631"/>
      <c r="X16" s="7"/>
      <c r="Y16" s="7"/>
    </row>
    <row r="17" spans="3:25" s="211" customFormat="1" ht="18" customHeight="1">
      <c r="C17" s="211">
        <v>1</v>
      </c>
      <c r="D17" s="628" t="s">
        <v>633</v>
      </c>
      <c r="E17" s="703">
        <v>1209</v>
      </c>
      <c r="F17" s="629" t="s">
        <v>1901</v>
      </c>
      <c r="G17" s="414">
        <v>1000</v>
      </c>
      <c r="H17" s="414"/>
      <c r="I17" s="414" t="s">
        <v>474</v>
      </c>
      <c r="J17" s="211">
        <f>+L17</f>
        <v>-4200000000</v>
      </c>
      <c r="K17" s="414" t="s">
        <v>474</v>
      </c>
      <c r="L17" s="630">
        <f>ROUND(SUMIF(T_BS!$F:$F,T198_TB!E17,T_BS!$W:$W),0)+SUMIF($T$5:$T$8,E17,$V$5:$V$8)</f>
        <v>-4200000000</v>
      </c>
      <c r="N17" s="211" t="s">
        <v>0</v>
      </c>
      <c r="Q17" s="625"/>
      <c r="R17" s="626"/>
      <c r="S17" s="631"/>
      <c r="X17" s="7"/>
      <c r="Y17" s="7"/>
    </row>
    <row r="18" spans="3:25" s="211" customFormat="1" ht="18" customHeight="1">
      <c r="C18" s="211">
        <v>1</v>
      </c>
      <c r="D18" s="628" t="s">
        <v>633</v>
      </c>
      <c r="E18" s="703">
        <v>2650</v>
      </c>
      <c r="F18" s="629" t="s">
        <v>1894</v>
      </c>
      <c r="G18" s="414">
        <v>1000</v>
      </c>
      <c r="H18" s="414"/>
      <c r="I18" s="414" t="s">
        <v>474</v>
      </c>
      <c r="J18" s="211">
        <f t="shared" si="1"/>
        <v>0</v>
      </c>
      <c r="K18" s="414" t="s">
        <v>474</v>
      </c>
      <c r="L18" s="630">
        <f>ROUND(SUMIF(T_BS!$F:$F,T198_TB!E18,T_BS!$W:$W),0)+SUMIF($T$5:$T$8,E18,$V$5:$V$8)</f>
        <v>0</v>
      </c>
      <c r="N18" s="211" t="s">
        <v>0</v>
      </c>
      <c r="Q18" s="625">
        <v>300136621</v>
      </c>
      <c r="R18" s="626">
        <f>Q18-L18</f>
        <v>300136621</v>
      </c>
      <c r="S18" s="631"/>
      <c r="X18" s="7"/>
      <c r="Y18" s="7"/>
    </row>
    <row r="19" spans="3:25" s="211" customFormat="1" ht="18" customHeight="1">
      <c r="C19" s="211">
        <v>1</v>
      </c>
      <c r="D19" s="628" t="s">
        <v>633</v>
      </c>
      <c r="E19" s="703">
        <v>1212</v>
      </c>
      <c r="F19" s="629" t="s">
        <v>36</v>
      </c>
      <c r="G19" s="414">
        <v>1000</v>
      </c>
      <c r="H19" s="414"/>
      <c r="I19" s="414" t="s">
        <v>474</v>
      </c>
      <c r="J19" s="211">
        <f t="shared" si="1"/>
        <v>6040983</v>
      </c>
      <c r="K19" s="414" t="s">
        <v>474</v>
      </c>
      <c r="L19" s="630">
        <f>ROUND(SUMIF(T_BS!$F:$F,T198_TB!E19,T_BS!$W:$W),0)+SUMIF($T$5:$T$8,E19,$V$5:$V$8)</f>
        <v>6040983</v>
      </c>
      <c r="N19" s="211" t="s">
        <v>0</v>
      </c>
      <c r="Q19" s="625">
        <v>57750206</v>
      </c>
      <c r="R19" s="626">
        <f>Q19-L19</f>
        <v>51709223</v>
      </c>
      <c r="S19" s="631"/>
      <c r="X19" s="7"/>
      <c r="Y19" s="7"/>
    </row>
    <row r="20" spans="3:25" s="211" customFormat="1" ht="18" customHeight="1">
      <c r="C20" s="211">
        <v>1</v>
      </c>
      <c r="D20" s="628" t="s">
        <v>633</v>
      </c>
      <c r="E20" s="703">
        <v>1601</v>
      </c>
      <c r="F20" s="629" t="s">
        <v>641</v>
      </c>
      <c r="G20" s="414">
        <v>1000</v>
      </c>
      <c r="H20" s="414"/>
      <c r="I20" s="414" t="s">
        <v>474</v>
      </c>
      <c r="J20" s="211">
        <f t="shared" si="1"/>
        <v>1753431223</v>
      </c>
      <c r="K20" s="414" t="s">
        <v>474</v>
      </c>
      <c r="L20" s="630">
        <f>ROUND(SUMIF(T_BS!$F:$F,T198_TB!E20,T_BS!$W:$W),0)+SUMIF($T$5:$T$8,E20,$V$5:$V$8)</f>
        <v>1753431223</v>
      </c>
      <c r="N20" s="211" t="s">
        <v>0</v>
      </c>
      <c r="Q20" s="625">
        <v>1564597870</v>
      </c>
      <c r="R20" s="626">
        <f>Q20-L20</f>
        <v>-188833353</v>
      </c>
      <c r="S20" s="631"/>
      <c r="X20" s="7"/>
      <c r="Y20" s="7"/>
    </row>
    <row r="21" spans="3:25" s="211" customFormat="1" ht="18" customHeight="1">
      <c r="C21" s="211">
        <v>1</v>
      </c>
      <c r="D21" s="628" t="s">
        <v>633</v>
      </c>
      <c r="E21" s="703">
        <v>1605</v>
      </c>
      <c r="F21" s="629" t="s">
        <v>642</v>
      </c>
      <c r="G21" s="414">
        <v>1000</v>
      </c>
      <c r="H21" s="414"/>
      <c r="I21" s="414" t="s">
        <v>474</v>
      </c>
      <c r="J21" s="211">
        <f t="shared" si="1"/>
        <v>1203258040</v>
      </c>
      <c r="K21" s="414" t="s">
        <v>474</v>
      </c>
      <c r="L21" s="630">
        <f>ROUND(SUMIF(T_BS!$F:$F,T198_TB!E21,T_BS!$W:$W),0)+SUMIF($T$5:$T$8,E21,$V$5:$V$8)</f>
        <v>1203258040</v>
      </c>
      <c r="N21" s="211" t="s">
        <v>0</v>
      </c>
      <c r="Q21" s="625">
        <v>1022903699</v>
      </c>
      <c r="R21" s="626">
        <f>Q21-L21</f>
        <v>-180354341</v>
      </c>
      <c r="S21" s="631"/>
      <c r="X21" s="7"/>
      <c r="Y21" s="7"/>
    </row>
    <row r="22" spans="3:25" s="211" customFormat="1" ht="18" customHeight="1">
      <c r="C22" s="211">
        <v>1</v>
      </c>
      <c r="D22" s="628" t="s">
        <v>633</v>
      </c>
      <c r="E22" s="703">
        <v>1401</v>
      </c>
      <c r="F22" s="629" t="s">
        <v>54</v>
      </c>
      <c r="G22" s="414">
        <v>1000</v>
      </c>
      <c r="H22" s="414"/>
      <c r="I22" s="414" t="s">
        <v>474</v>
      </c>
      <c r="J22" s="211">
        <f t="shared" si="1"/>
        <v>226315893</v>
      </c>
      <c r="K22" s="414" t="s">
        <v>474</v>
      </c>
      <c r="L22" s="630">
        <f>ROUND(SUMIF(T_BS!$F:$F,T198_TB!E22,T_BS!$W:$W),0)+SUMIF($T$5:$T$8,E22,$V$5:$V$8)</f>
        <v>226315893</v>
      </c>
      <c r="N22" s="211" t="s">
        <v>0</v>
      </c>
      <c r="Q22" s="625">
        <v>324941593</v>
      </c>
      <c r="R22" s="626">
        <f>Q22-L22</f>
        <v>98625700</v>
      </c>
      <c r="S22" s="631"/>
      <c r="X22" s="7"/>
      <c r="Y22" s="7"/>
    </row>
    <row r="23" spans="3:25" s="211" customFormat="1" ht="18" customHeight="1">
      <c r="D23" s="628" t="s">
        <v>633</v>
      </c>
      <c r="E23" s="703">
        <v>1301</v>
      </c>
      <c r="F23" s="629" t="s">
        <v>43</v>
      </c>
      <c r="G23" s="414">
        <v>1000</v>
      </c>
      <c r="H23" s="414"/>
      <c r="I23" s="414" t="s">
        <v>474</v>
      </c>
      <c r="J23" s="211">
        <f>+L23</f>
        <v>9553713376</v>
      </c>
      <c r="K23" s="414" t="s">
        <v>474</v>
      </c>
      <c r="L23" s="630">
        <f>ROUND(SUMIF(T_BS!$F:$F,T198_TB!E23,T_BS!$W:$W),0)+SUMIF($T$5:$T$8,E23,$V$5:$V$8)</f>
        <v>9553713376</v>
      </c>
      <c r="N23" s="211" t="s">
        <v>0</v>
      </c>
      <c r="Q23" s="625"/>
      <c r="R23" s="626"/>
      <c r="S23" s="631"/>
      <c r="X23" s="7"/>
      <c r="Y23" s="7"/>
    </row>
    <row r="24" spans="3:25" s="211" customFormat="1" ht="18" customHeight="1">
      <c r="D24" s="628" t="s">
        <v>633</v>
      </c>
      <c r="E24" s="703">
        <v>1302</v>
      </c>
      <c r="F24" s="629" t="s">
        <v>44</v>
      </c>
      <c r="G24" s="414">
        <v>1000</v>
      </c>
      <c r="H24" s="414"/>
      <c r="I24" s="414" t="s">
        <v>474</v>
      </c>
      <c r="J24" s="211">
        <f>+L24</f>
        <v>-7972135418</v>
      </c>
      <c r="K24" s="414" t="s">
        <v>474</v>
      </c>
      <c r="L24" s="630">
        <f>ROUND(SUMIF(T_BS!$F:$F,T198_TB!E24,T_BS!$W:$W),0)+SUMIF($T$5:$T$8,E24,$V$5:$V$8)</f>
        <v>-7972135418</v>
      </c>
      <c r="N24" s="211" t="s">
        <v>0</v>
      </c>
      <c r="Q24" s="625"/>
      <c r="R24" s="626"/>
      <c r="S24" s="631"/>
      <c r="X24" s="7"/>
      <c r="Y24" s="7"/>
    </row>
    <row r="25" spans="3:25" s="211" customFormat="1" ht="18" customHeight="1">
      <c r="C25" s="211">
        <v>1</v>
      </c>
      <c r="D25" s="628" t="s">
        <v>633</v>
      </c>
      <c r="E25" s="703">
        <v>1303</v>
      </c>
      <c r="F25" s="629" t="s">
        <v>45</v>
      </c>
      <c r="G25" s="414">
        <v>1000</v>
      </c>
      <c r="H25" s="414"/>
      <c r="I25" s="414" t="s">
        <v>474</v>
      </c>
      <c r="J25" s="211">
        <f t="shared" si="1"/>
        <v>2835908871</v>
      </c>
      <c r="K25" s="414" t="s">
        <v>474</v>
      </c>
      <c r="L25" s="630">
        <f>ROUND(SUMIF(T_BS!$F:$F,T198_TB!E25,T_BS!$W:$W),0)+SUMIF($T$5:$T$8,E25,$V$5:$V$8)</f>
        <v>2835908871</v>
      </c>
      <c r="N25" s="211" t="s">
        <v>0</v>
      </c>
      <c r="Q25" s="698">
        <v>10731516615</v>
      </c>
      <c r="R25" s="699">
        <f t="shared" ref="R25:R34" si="2">Q25-L25</f>
        <v>7895607744</v>
      </c>
      <c r="S25" s="631"/>
      <c r="X25" s="7"/>
      <c r="Y25" s="7"/>
    </row>
    <row r="26" spans="3:25" s="211" customFormat="1" ht="18" customHeight="1">
      <c r="C26" s="211">
        <v>1</v>
      </c>
      <c r="D26" s="628" t="s">
        <v>633</v>
      </c>
      <c r="E26" s="703">
        <v>1304</v>
      </c>
      <c r="F26" s="629" t="s">
        <v>46</v>
      </c>
      <c r="G26" s="414">
        <v>1000</v>
      </c>
      <c r="H26" s="414"/>
      <c r="I26" s="414" t="s">
        <v>474</v>
      </c>
      <c r="J26" s="211">
        <f t="shared" si="1"/>
        <v>-1878677843</v>
      </c>
      <c r="K26" s="414" t="s">
        <v>474</v>
      </c>
      <c r="L26" s="630">
        <f>ROUND(SUMIF(T_BS!$F:$F,T198_TB!E26,T_BS!$W:$W),0)+SUMIF($T$5:$T$8,E26,$V$5:$V$8)</f>
        <v>-1878677843</v>
      </c>
      <c r="N26" s="211" t="s">
        <v>0</v>
      </c>
      <c r="Q26" s="698">
        <v>-8960597141</v>
      </c>
      <c r="R26" s="699">
        <f t="shared" si="2"/>
        <v>-7081919298</v>
      </c>
      <c r="S26" s="631"/>
      <c r="X26" s="7"/>
      <c r="Y26" s="7"/>
    </row>
    <row r="27" spans="3:25" s="211" customFormat="1" ht="18" customHeight="1">
      <c r="C27" s="211">
        <v>1</v>
      </c>
      <c r="D27" s="628" t="s">
        <v>633</v>
      </c>
      <c r="E27" s="703">
        <v>1305</v>
      </c>
      <c r="F27" s="629" t="s">
        <v>47</v>
      </c>
      <c r="G27" s="414">
        <v>1000</v>
      </c>
      <c r="H27" s="414"/>
      <c r="I27" s="414" t="s">
        <v>474</v>
      </c>
      <c r="J27" s="211">
        <f t="shared" si="1"/>
        <v>1157114968</v>
      </c>
      <c r="K27" s="414" t="s">
        <v>474</v>
      </c>
      <c r="L27" s="630">
        <f>ROUND(SUMIF(T_BS!$F:$F,T198_TB!E27,T_BS!$W:$W),0)+SUMIF($T$5:$T$8,E27,$V$5:$V$8)</f>
        <v>1157114968</v>
      </c>
      <c r="N27" s="211" t="s">
        <v>0</v>
      </c>
      <c r="Q27" s="698">
        <v>3376618889</v>
      </c>
      <c r="R27" s="699">
        <f t="shared" si="2"/>
        <v>2219503921</v>
      </c>
      <c r="S27" s="631"/>
      <c r="X27" s="7"/>
      <c r="Y27" s="7"/>
    </row>
    <row r="28" spans="3:25" s="211" customFormat="1" ht="18" customHeight="1">
      <c r="C28" s="211">
        <v>1</v>
      </c>
      <c r="D28" s="628" t="s">
        <v>633</v>
      </c>
      <c r="E28" s="703">
        <v>1306</v>
      </c>
      <c r="F28" s="629" t="s">
        <v>48</v>
      </c>
      <c r="G28" s="414">
        <v>1000</v>
      </c>
      <c r="H28" s="414"/>
      <c r="I28" s="414" t="s">
        <v>474</v>
      </c>
      <c r="J28" s="211">
        <f t="shared" si="1"/>
        <v>-818267363</v>
      </c>
      <c r="K28" s="414" t="s">
        <v>474</v>
      </c>
      <c r="L28" s="630">
        <f>ROUND(SUMIF(T_BS!$F:$F,T198_TB!E28,T_BS!$W:$W),0)+SUMIF($T$5:$T$8,E28,$V$5:$V$8)</f>
        <v>-818267363</v>
      </c>
      <c r="N28" s="211" t="s">
        <v>0</v>
      </c>
      <c r="Q28" s="698">
        <v>-1200439457</v>
      </c>
      <c r="R28" s="699">
        <f t="shared" si="2"/>
        <v>-382172094</v>
      </c>
      <c r="S28" s="631"/>
      <c r="X28" s="7"/>
      <c r="Y28" s="7"/>
    </row>
    <row r="29" spans="3:25" s="211" customFormat="1" ht="18" customHeight="1">
      <c r="C29" s="211">
        <v>1</v>
      </c>
      <c r="D29" s="628" t="s">
        <v>633</v>
      </c>
      <c r="E29" s="703">
        <v>1307</v>
      </c>
      <c r="F29" s="629" t="s">
        <v>49</v>
      </c>
      <c r="G29" s="414">
        <v>1000</v>
      </c>
      <c r="H29" s="414"/>
      <c r="I29" s="414" t="s">
        <v>474</v>
      </c>
      <c r="J29" s="211">
        <f t="shared" si="1"/>
        <v>8663381877</v>
      </c>
      <c r="K29" s="414" t="s">
        <v>474</v>
      </c>
      <c r="L29" s="630">
        <f>ROUND(SUMIF(T_BS!$F:$F,T198_TB!E29,T_BS!$W:$W),0)+SUMIF($T$5:$T$8,E29,$V$5:$V$8)</f>
        <v>8663381877</v>
      </c>
      <c r="N29" s="211" t="s">
        <v>0</v>
      </c>
      <c r="Q29" s="698">
        <v>1545570816</v>
      </c>
      <c r="R29" s="699">
        <f t="shared" si="2"/>
        <v>-7117811061</v>
      </c>
      <c r="S29" s="631"/>
      <c r="X29" s="7"/>
      <c r="Y29" s="7"/>
    </row>
    <row r="30" spans="3:25" s="211" customFormat="1" ht="18" customHeight="1">
      <c r="C30" s="211">
        <v>1</v>
      </c>
      <c r="D30" s="628" t="s">
        <v>633</v>
      </c>
      <c r="E30" s="703">
        <v>1308</v>
      </c>
      <c r="F30" s="629" t="s">
        <v>50</v>
      </c>
      <c r="G30" s="414">
        <v>1000</v>
      </c>
      <c r="H30" s="414"/>
      <c r="I30" s="414" t="s">
        <v>474</v>
      </c>
      <c r="J30" s="211">
        <f t="shared" si="1"/>
        <v>-6904841410</v>
      </c>
      <c r="K30" s="414" t="s">
        <v>474</v>
      </c>
      <c r="L30" s="630">
        <f>ROUND(SUMIF(T_BS!$F:$F,T198_TB!E30,T_BS!$W:$W),0)+SUMIF($T$5:$T$8,E30,$V$5:$V$8)</f>
        <v>-6904841410</v>
      </c>
      <c r="N30" s="211" t="s">
        <v>0</v>
      </c>
      <c r="Q30" s="698">
        <v>-1603863946</v>
      </c>
      <c r="R30" s="699">
        <f t="shared" si="2"/>
        <v>5300977464</v>
      </c>
      <c r="S30" s="631"/>
      <c r="X30" s="7"/>
      <c r="Y30" s="7"/>
    </row>
    <row r="31" spans="3:25" s="211" customFormat="1" ht="18" customHeight="1">
      <c r="C31" s="211">
        <v>1</v>
      </c>
      <c r="D31" s="628" t="s">
        <v>633</v>
      </c>
      <c r="E31" s="703">
        <v>2701</v>
      </c>
      <c r="F31" s="629" t="s">
        <v>101</v>
      </c>
      <c r="G31" s="414">
        <v>1000</v>
      </c>
      <c r="H31" s="414"/>
      <c r="I31" s="414" t="s">
        <v>474</v>
      </c>
      <c r="J31" s="211">
        <f t="shared" si="1"/>
        <v>9322147241</v>
      </c>
      <c r="K31" s="414" t="s">
        <v>474</v>
      </c>
      <c r="L31" s="630">
        <f>ROUND(SUMIF(T_BS!$F:$F,T198_TB!E31,T_BS!$W:$W),0)+SUMIF($T$5:$T$8,E31,$V$5:$V$8)</f>
        <v>9322147241</v>
      </c>
      <c r="N31" s="211" t="s">
        <v>0</v>
      </c>
      <c r="Q31" s="698">
        <v>11208584813</v>
      </c>
      <c r="R31" s="699">
        <f t="shared" si="2"/>
        <v>1886437572</v>
      </c>
      <c r="S31" s="631"/>
      <c r="X31" s="7"/>
      <c r="Y31" s="7"/>
    </row>
    <row r="32" spans="3:25" s="211" customFormat="1" ht="18" customHeight="1">
      <c r="C32" s="211">
        <v>1</v>
      </c>
      <c r="D32" s="628" t="s">
        <v>633</v>
      </c>
      <c r="E32" s="703">
        <v>2702</v>
      </c>
      <c r="F32" s="629" t="s">
        <v>1644</v>
      </c>
      <c r="G32" s="414">
        <v>1000</v>
      </c>
      <c r="H32" s="414"/>
      <c r="I32" s="414" t="s">
        <v>474</v>
      </c>
      <c r="J32" s="211">
        <f t="shared" si="1"/>
        <v>-4167328017</v>
      </c>
      <c r="K32" s="414" t="s">
        <v>474</v>
      </c>
      <c r="L32" s="630">
        <f>ROUND(SUMIF(T_BS!$F:$F,T198_TB!E32,T_BS!$W:$W),0)+SUMIF($T$5:$T$8,E32,$V$5:$V$8)</f>
        <v>-4167328017</v>
      </c>
      <c r="N32" s="211" t="s">
        <v>0</v>
      </c>
      <c r="Q32" s="698">
        <v>-7967175903</v>
      </c>
      <c r="R32" s="699">
        <f t="shared" si="2"/>
        <v>-3799847886</v>
      </c>
      <c r="S32" s="631"/>
      <c r="X32" s="7"/>
      <c r="Y32" s="7"/>
    </row>
    <row r="33" spans="3:25" s="211" customFormat="1" ht="18" customHeight="1">
      <c r="C33" s="211">
        <v>1</v>
      </c>
      <c r="D33" s="628" t="s">
        <v>633</v>
      </c>
      <c r="E33" s="703">
        <v>2801</v>
      </c>
      <c r="F33" s="632" t="s">
        <v>103</v>
      </c>
      <c r="G33" s="414">
        <v>1000</v>
      </c>
      <c r="H33" s="414"/>
      <c r="I33" s="414" t="s">
        <v>474</v>
      </c>
      <c r="J33" s="211">
        <f t="shared" si="1"/>
        <v>96167436</v>
      </c>
      <c r="K33" s="414" t="s">
        <v>474</v>
      </c>
      <c r="L33" s="630">
        <f>ROUND(SUMIF(T_BS!$F:$F,T198_TB!E33,T_BS!$W:$W),0)+SUMIF($T$5:$T$8,E33,$V$5:$V$8)</f>
        <v>96167436</v>
      </c>
      <c r="N33" s="211" t="s">
        <v>0</v>
      </c>
      <c r="Q33" s="698">
        <v>5102545191</v>
      </c>
      <c r="R33" s="699">
        <f t="shared" si="2"/>
        <v>5006377755</v>
      </c>
      <c r="S33" s="631"/>
      <c r="X33" s="7"/>
      <c r="Y33" s="7"/>
    </row>
    <row r="34" spans="3:25" s="211" customFormat="1" ht="18" customHeight="1">
      <c r="C34" s="211">
        <v>1</v>
      </c>
      <c r="D34" s="628" t="s">
        <v>633</v>
      </c>
      <c r="E34" s="703">
        <v>2802</v>
      </c>
      <c r="F34" s="632" t="s">
        <v>1645</v>
      </c>
      <c r="G34" s="414">
        <v>1000</v>
      </c>
      <c r="H34" s="414"/>
      <c r="I34" s="414" t="s">
        <v>474</v>
      </c>
      <c r="J34" s="211">
        <f t="shared" si="1"/>
        <v>-69983529</v>
      </c>
      <c r="K34" s="414" t="s">
        <v>474</v>
      </c>
      <c r="L34" s="630">
        <f>ROUND(SUMIF(T_BS!$F:$F,T198_TB!E34,T_BS!$W:$W),0)+SUMIF($T$5:$T$8,E34,$V$5:$V$8)</f>
        <v>-69983529</v>
      </c>
      <c r="N34" s="211" t="s">
        <v>0</v>
      </c>
      <c r="Q34" s="698">
        <v>-2428196247</v>
      </c>
      <c r="R34" s="699">
        <f t="shared" si="2"/>
        <v>-2358212718</v>
      </c>
      <c r="S34" s="631"/>
      <c r="X34" s="7"/>
      <c r="Y34" s="7"/>
    </row>
    <row r="35" spans="3:25" s="211" customFormat="1" ht="18" customHeight="1">
      <c r="C35" s="211">
        <v>1</v>
      </c>
      <c r="D35" s="628" t="s">
        <v>633</v>
      </c>
      <c r="E35" s="40">
        <v>2811</v>
      </c>
      <c r="F35" s="869" t="s">
        <v>2260</v>
      </c>
      <c r="G35" s="414">
        <v>1000</v>
      </c>
      <c r="H35" s="414"/>
      <c r="I35" s="414" t="s">
        <v>474</v>
      </c>
      <c r="J35" s="211">
        <f t="shared" ref="J35:J36" si="3">+L35</f>
        <v>244897772</v>
      </c>
      <c r="K35" s="414" t="s">
        <v>474</v>
      </c>
      <c r="L35" s="630">
        <f>ROUND(SUMIF(T_BS!$F:$F,T198_TB!E35,T_BS!$W:$W),0)+SUMIF($T$5:$T$8,E35,$V$5:$V$8)</f>
        <v>244897772</v>
      </c>
      <c r="N35" s="211" t="s">
        <v>0</v>
      </c>
      <c r="Q35" s="698"/>
      <c r="R35" s="699"/>
      <c r="S35" s="631"/>
      <c r="X35" s="7"/>
      <c r="Y35" s="7"/>
    </row>
    <row r="36" spans="3:25" s="211" customFormat="1" ht="18" customHeight="1">
      <c r="C36" s="211">
        <v>1</v>
      </c>
      <c r="D36" s="628" t="s">
        <v>633</v>
      </c>
      <c r="E36" s="40">
        <v>2812</v>
      </c>
      <c r="F36" s="869" t="s">
        <v>2261</v>
      </c>
      <c r="G36" s="414">
        <v>1000</v>
      </c>
      <c r="H36" s="414"/>
      <c r="I36" s="414" t="s">
        <v>474</v>
      </c>
      <c r="J36" s="211">
        <f t="shared" si="3"/>
        <v>-4014718</v>
      </c>
      <c r="K36" s="414" t="s">
        <v>474</v>
      </c>
      <c r="L36" s="630">
        <f>ROUND(SUMIF(T_BS!$F:$F,T198_TB!E36,T_BS!$W:$W),0)+SUMIF($T$5:$T$8,E36,$V$5:$V$8)</f>
        <v>-4014718</v>
      </c>
      <c r="N36" s="211" t="s">
        <v>0</v>
      </c>
      <c r="Q36" s="698"/>
      <c r="R36" s="699"/>
      <c r="S36" s="631"/>
      <c r="X36" s="7"/>
      <c r="Y36" s="7"/>
    </row>
    <row r="37" spans="3:25" s="211" customFormat="1" ht="18" customHeight="1">
      <c r="C37" s="211">
        <v>1</v>
      </c>
      <c r="D37" s="628" t="s">
        <v>633</v>
      </c>
      <c r="E37" s="703">
        <v>2401</v>
      </c>
      <c r="F37" s="632" t="s">
        <v>84</v>
      </c>
      <c r="G37" s="414">
        <v>1000</v>
      </c>
      <c r="H37" s="414"/>
      <c r="I37" s="414" t="s">
        <v>474</v>
      </c>
      <c r="J37" s="211">
        <f t="shared" si="1"/>
        <v>31456249</v>
      </c>
      <c r="K37" s="414" t="s">
        <v>474</v>
      </c>
      <c r="L37" s="630">
        <f>ROUND(SUMIF(T_BS!$F:$F,T198_TB!E37,T_BS!$W:$W),0)+SUMIF($T$5:$T$8,E37,$V$5:$V$8)</f>
        <v>31456249</v>
      </c>
      <c r="N37" s="211" t="s">
        <v>0</v>
      </c>
      <c r="Q37" s="698">
        <v>102205663</v>
      </c>
      <c r="R37" s="699">
        <f t="shared" ref="R37:R49" si="4">Q37-L37</f>
        <v>70749414</v>
      </c>
      <c r="S37" s="631"/>
      <c r="X37" s="7"/>
      <c r="Y37" s="7"/>
    </row>
    <row r="38" spans="3:25" s="211" customFormat="1" ht="18" customHeight="1">
      <c r="C38" s="211">
        <v>1</v>
      </c>
      <c r="D38" s="628" t="s">
        <v>633</v>
      </c>
      <c r="E38" s="703">
        <v>2402</v>
      </c>
      <c r="F38" s="632" t="s">
        <v>643</v>
      </c>
      <c r="G38" s="414">
        <v>1000</v>
      </c>
      <c r="H38" s="414"/>
      <c r="I38" s="414" t="s">
        <v>474</v>
      </c>
      <c r="J38" s="211">
        <f t="shared" si="1"/>
        <v>-24297186</v>
      </c>
      <c r="K38" s="414" t="s">
        <v>474</v>
      </c>
      <c r="L38" s="630">
        <f>ROUND(SUMIF(T_BS!$F:$F,T198_TB!E38,T_BS!$W:$W),0)+SUMIF($T$5:$T$8,E38,$V$5:$V$8)</f>
        <v>-24297186</v>
      </c>
      <c r="N38" s="211" t="s">
        <v>0</v>
      </c>
      <c r="Q38" s="698">
        <v>-38000649</v>
      </c>
      <c r="R38" s="699">
        <f t="shared" si="4"/>
        <v>-13703463</v>
      </c>
      <c r="S38" s="631"/>
      <c r="X38" s="7"/>
      <c r="Y38" s="7"/>
    </row>
    <row r="39" spans="3:25" s="211" customFormat="1" ht="18" customHeight="1">
      <c r="C39" s="211">
        <v>1</v>
      </c>
      <c r="D39" s="628" t="s">
        <v>633</v>
      </c>
      <c r="E39" s="703">
        <v>2404</v>
      </c>
      <c r="F39" s="632" t="s">
        <v>86</v>
      </c>
      <c r="G39" s="414">
        <v>1000</v>
      </c>
      <c r="H39" s="414"/>
      <c r="I39" s="414" t="s">
        <v>474</v>
      </c>
      <c r="J39" s="211">
        <f t="shared" si="1"/>
        <v>209637249</v>
      </c>
      <c r="K39" s="414" t="s">
        <v>474</v>
      </c>
      <c r="L39" s="630">
        <f>ROUND(SUMIF(T_BS!$F:$F,T198_TB!E39,T_BS!$W:$W),0)+SUMIF($T$5:$T$8,E39,$V$5:$V$8)</f>
        <v>209637249</v>
      </c>
      <c r="N39" s="211" t="s">
        <v>0</v>
      </c>
      <c r="Q39" s="698">
        <v>31456249</v>
      </c>
      <c r="R39" s="699">
        <f t="shared" si="4"/>
        <v>-178181000</v>
      </c>
      <c r="S39" s="631"/>
      <c r="X39" s="7"/>
      <c r="Y39" s="7"/>
    </row>
    <row r="40" spans="3:25" s="211" customFormat="1" ht="18" customHeight="1">
      <c r="C40" s="211">
        <v>1</v>
      </c>
      <c r="D40" s="628" t="s">
        <v>633</v>
      </c>
      <c r="E40" s="703">
        <v>2405</v>
      </c>
      <c r="F40" s="629" t="s">
        <v>644</v>
      </c>
      <c r="G40" s="414">
        <v>1000</v>
      </c>
      <c r="H40" s="414"/>
      <c r="I40" s="414" t="s">
        <v>474</v>
      </c>
      <c r="J40" s="211">
        <f t="shared" si="1"/>
        <v>-128877898</v>
      </c>
      <c r="K40" s="414" t="s">
        <v>474</v>
      </c>
      <c r="L40" s="630">
        <f>ROUND(SUMIF(T_BS!$F:$F,T198_TB!E40,T_BS!$W:$W),0)+SUMIF($T$5:$T$8,E40,$V$5:$V$8)</f>
        <v>-128877898</v>
      </c>
      <c r="N40" s="211" t="s">
        <v>0</v>
      </c>
      <c r="Q40" s="698">
        <v>-22424459</v>
      </c>
      <c r="R40" s="699">
        <f t="shared" si="4"/>
        <v>106453439</v>
      </c>
      <c r="S40" s="631"/>
      <c r="X40" s="7"/>
      <c r="Y40" s="7"/>
    </row>
    <row r="41" spans="3:25" s="211" customFormat="1" ht="18" customHeight="1">
      <c r="C41" s="211">
        <v>1</v>
      </c>
      <c r="D41" s="628" t="s">
        <v>633</v>
      </c>
      <c r="E41" s="703">
        <v>2406</v>
      </c>
      <c r="F41" s="629" t="s">
        <v>645</v>
      </c>
      <c r="G41" s="414">
        <v>1000</v>
      </c>
      <c r="H41" s="414"/>
      <c r="I41" s="414" t="s">
        <v>474</v>
      </c>
      <c r="J41" s="211">
        <f t="shared" si="1"/>
        <v>-19482073</v>
      </c>
      <c r="K41" s="414" t="s">
        <v>474</v>
      </c>
      <c r="L41" s="630">
        <f>ROUND(SUMIF(T_BS!$F:$F,T198_TB!E41,T_BS!$W:$W),0)+SUMIF($T$5:$T$8,E41,$V$5:$V$8)</f>
        <v>-19482073</v>
      </c>
      <c r="N41" s="211" t="s">
        <v>0</v>
      </c>
      <c r="Q41" s="698">
        <v>209637249</v>
      </c>
      <c r="R41" s="699">
        <f t="shared" si="4"/>
        <v>229119322</v>
      </c>
      <c r="S41" s="631"/>
      <c r="X41" s="7"/>
      <c r="Y41" s="7"/>
    </row>
    <row r="42" spans="3:25" s="211" customFormat="1" ht="18" customHeight="1">
      <c r="C42" s="211">
        <v>1</v>
      </c>
      <c r="D42" s="628" t="s">
        <v>633</v>
      </c>
      <c r="E42" s="703">
        <v>2407</v>
      </c>
      <c r="F42" s="629" t="s">
        <v>89</v>
      </c>
      <c r="G42" s="414">
        <v>1000</v>
      </c>
      <c r="H42" s="414"/>
      <c r="I42" s="414" t="s">
        <v>474</v>
      </c>
      <c r="J42" s="211">
        <f t="shared" si="1"/>
        <v>3484648565</v>
      </c>
      <c r="K42" s="414" t="s">
        <v>474</v>
      </c>
      <c r="L42" s="630">
        <f>ROUND(SUMIF(T_BS!$F:$F,T198_TB!E42,T_BS!$W:$W),0)+SUMIF($T$5:$T$8,E42,$V$5:$V$8)</f>
        <v>3484648565</v>
      </c>
      <c r="N42" s="211" t="s">
        <v>0</v>
      </c>
      <c r="Q42" s="698">
        <v>-107783846</v>
      </c>
      <c r="R42" s="699">
        <f t="shared" si="4"/>
        <v>-3592432411</v>
      </c>
      <c r="S42" s="631"/>
      <c r="X42" s="7"/>
      <c r="Y42" s="7"/>
    </row>
    <row r="43" spans="3:25" s="211" customFormat="1" ht="18" customHeight="1">
      <c r="C43" s="211">
        <v>1</v>
      </c>
      <c r="D43" s="628" t="s">
        <v>633</v>
      </c>
      <c r="E43" s="703">
        <v>2408</v>
      </c>
      <c r="F43" s="629" t="s">
        <v>646</v>
      </c>
      <c r="G43" s="414">
        <v>1000</v>
      </c>
      <c r="H43" s="414"/>
      <c r="I43" s="414" t="s">
        <v>474</v>
      </c>
      <c r="J43" s="211">
        <f t="shared" si="1"/>
        <v>-2782115971</v>
      </c>
      <c r="K43" s="414" t="s">
        <v>474</v>
      </c>
      <c r="L43" s="630">
        <f>ROUND(SUMIF(T_BS!$F:$F,T198_TB!E43,T_BS!$W:$W),0)+SUMIF($T$5:$T$8,E43,$V$5:$V$8)</f>
        <v>-2782115971</v>
      </c>
      <c r="N43" s="211" t="s">
        <v>0</v>
      </c>
      <c r="Q43" s="698">
        <v>-19482073</v>
      </c>
      <c r="R43" s="699">
        <f t="shared" si="4"/>
        <v>2762633898</v>
      </c>
      <c r="S43" s="631"/>
      <c r="X43" s="7"/>
      <c r="Y43" s="7"/>
    </row>
    <row r="44" spans="3:25" s="211" customFormat="1" ht="18" customHeight="1">
      <c r="C44" s="211">
        <v>1</v>
      </c>
      <c r="D44" s="628" t="s">
        <v>633</v>
      </c>
      <c r="E44" s="703">
        <v>2409</v>
      </c>
      <c r="F44" s="629" t="s">
        <v>647</v>
      </c>
      <c r="G44" s="414">
        <v>1000</v>
      </c>
      <c r="H44" s="414"/>
      <c r="I44" s="414" t="s">
        <v>474</v>
      </c>
      <c r="J44" s="211">
        <f t="shared" si="1"/>
        <v>-203463068</v>
      </c>
      <c r="K44" s="414" t="s">
        <v>474</v>
      </c>
      <c r="L44" s="630">
        <f>ROUND(SUMIF(T_BS!$F:$F,T198_TB!E44,T_BS!$W:$W),0)+SUMIF($T$5:$T$8,E44,$V$5:$V$8)</f>
        <v>-203463068</v>
      </c>
      <c r="N44" s="211" t="s">
        <v>0</v>
      </c>
      <c r="Q44" s="698">
        <v>4149309096</v>
      </c>
      <c r="R44" s="699">
        <f t="shared" si="4"/>
        <v>4352772164</v>
      </c>
      <c r="S44" s="631"/>
      <c r="X44" s="7"/>
      <c r="Y44" s="7"/>
    </row>
    <row r="45" spans="3:25" s="211" customFormat="1" ht="18" customHeight="1">
      <c r="C45" s="211">
        <v>1</v>
      </c>
      <c r="D45" s="628" t="s">
        <v>633</v>
      </c>
      <c r="E45" s="703">
        <v>2413</v>
      </c>
      <c r="F45" s="629" t="s">
        <v>95</v>
      </c>
      <c r="G45" s="414">
        <v>1000</v>
      </c>
      <c r="H45" s="414"/>
      <c r="I45" s="414" t="s">
        <v>474</v>
      </c>
      <c r="J45" s="211">
        <f t="shared" si="1"/>
        <v>7546376968</v>
      </c>
      <c r="K45" s="414" t="s">
        <v>474</v>
      </c>
      <c r="L45" s="630">
        <f>ROUND(SUMIF(T_BS!$F:$F,T198_TB!E45,T_BS!$W:$W),0)+SUMIF($T$5:$T$8,E45,$V$5:$V$8)</f>
        <v>7546376968</v>
      </c>
      <c r="N45" s="211" t="s">
        <v>0</v>
      </c>
      <c r="Q45" s="698">
        <v>-3470383166</v>
      </c>
      <c r="R45" s="699">
        <f t="shared" si="4"/>
        <v>-11016760134</v>
      </c>
      <c r="S45" s="631"/>
      <c r="X45" s="7"/>
      <c r="Y45" s="7"/>
    </row>
    <row r="46" spans="3:25" s="211" customFormat="1" ht="18" customHeight="1">
      <c r="C46" s="211">
        <v>1</v>
      </c>
      <c r="D46" s="628" t="s">
        <v>633</v>
      </c>
      <c r="E46" s="703">
        <v>2414</v>
      </c>
      <c r="F46" s="629" t="s">
        <v>648</v>
      </c>
      <c r="G46" s="414">
        <v>1000</v>
      </c>
      <c r="H46" s="414"/>
      <c r="I46" s="414" t="s">
        <v>474</v>
      </c>
      <c r="J46" s="211">
        <f t="shared" si="1"/>
        <v>-3740984816</v>
      </c>
      <c r="K46" s="414" t="s">
        <v>474</v>
      </c>
      <c r="L46" s="630">
        <f>ROUND(SUMIF(T_BS!$F:$F,T198_TB!E46,T_BS!$W:$W),0)+SUMIF($T$5:$T$8,E46,$V$5:$V$8)</f>
        <v>-3740984816</v>
      </c>
      <c r="N46" s="211" t="s">
        <v>0</v>
      </c>
      <c r="Q46" s="698">
        <v>-258088071</v>
      </c>
      <c r="R46" s="699">
        <f t="shared" si="4"/>
        <v>3482896745</v>
      </c>
      <c r="S46" s="631"/>
      <c r="X46" s="7"/>
      <c r="Y46" s="7"/>
    </row>
    <row r="47" spans="3:25" s="211" customFormat="1" ht="18" customHeight="1">
      <c r="C47" s="211">
        <v>1</v>
      </c>
      <c r="D47" s="628" t="s">
        <v>633</v>
      </c>
      <c r="E47" s="703">
        <v>2415</v>
      </c>
      <c r="F47" s="629" t="s">
        <v>649</v>
      </c>
      <c r="G47" s="414">
        <v>1000</v>
      </c>
      <c r="H47" s="414"/>
      <c r="I47" s="414" t="s">
        <v>474</v>
      </c>
      <c r="J47" s="211">
        <f t="shared" si="1"/>
        <v>-2242592169</v>
      </c>
      <c r="K47" s="414" t="s">
        <v>474</v>
      </c>
      <c r="L47" s="630">
        <f>ROUND(SUMIF(T_BS!$F:$F,T198_TB!E47,T_BS!$W:$W),0)+SUMIF($T$5:$T$8,E47,$V$5:$V$8)</f>
        <v>-2242592169</v>
      </c>
      <c r="N47" s="211" t="s">
        <v>0</v>
      </c>
      <c r="Q47" s="698">
        <v>7135715694</v>
      </c>
      <c r="R47" s="699">
        <f t="shared" si="4"/>
        <v>9378307863</v>
      </c>
      <c r="S47" s="631"/>
      <c r="X47" s="7"/>
      <c r="Y47" s="7"/>
    </row>
    <row r="48" spans="3:25" s="211" customFormat="1" ht="18" customHeight="1">
      <c r="C48" s="211">
        <v>1</v>
      </c>
      <c r="D48" s="628" t="s">
        <v>633</v>
      </c>
      <c r="E48" s="703">
        <v>2419</v>
      </c>
      <c r="F48" s="629" t="s">
        <v>534</v>
      </c>
      <c r="G48" s="414">
        <v>1000</v>
      </c>
      <c r="H48" s="414"/>
      <c r="I48" s="414" t="s">
        <v>474</v>
      </c>
      <c r="J48" s="211">
        <f t="shared" si="1"/>
        <v>102390000</v>
      </c>
      <c r="K48" s="414" t="s">
        <v>474</v>
      </c>
      <c r="L48" s="630">
        <f>ROUND(SUMIF(T_BS!$F:$F,T198_TB!E48,T_BS!$W:$W),0)+SUMIF($T$5:$T$8,E48,$V$5:$V$8)</f>
        <v>102390000</v>
      </c>
      <c r="N48" s="211" t="s">
        <v>0</v>
      </c>
      <c r="Q48" s="698">
        <v>-3282682409</v>
      </c>
      <c r="R48" s="699">
        <f t="shared" si="4"/>
        <v>-3385072409</v>
      </c>
      <c r="S48" s="631"/>
      <c r="X48" s="7"/>
      <c r="Y48" s="7"/>
    </row>
    <row r="49" spans="3:25" s="211" customFormat="1" ht="18" customHeight="1">
      <c r="C49" s="211">
        <v>1</v>
      </c>
      <c r="D49" s="628" t="s">
        <v>633</v>
      </c>
      <c r="E49" s="703">
        <v>2501</v>
      </c>
      <c r="F49" s="629" t="s">
        <v>650</v>
      </c>
      <c r="G49" s="414">
        <v>1000</v>
      </c>
      <c r="H49" s="414"/>
      <c r="I49" s="414" t="s">
        <v>474</v>
      </c>
      <c r="J49" s="211">
        <f t="shared" si="1"/>
        <v>671125227</v>
      </c>
      <c r="K49" s="414" t="s">
        <v>474</v>
      </c>
      <c r="L49" s="630">
        <f>ROUND(SUMIF(T_BS!$F:$F,T198_TB!E49,T_BS!$W:$W),0)+SUMIF($T$5:$T$8,E49,$V$5:$V$8)</f>
        <v>671125227</v>
      </c>
      <c r="N49" s="211" t="s">
        <v>0</v>
      </c>
      <c r="Q49" s="698">
        <v>-2242592169</v>
      </c>
      <c r="R49" s="699">
        <f t="shared" si="4"/>
        <v>-2913717396</v>
      </c>
      <c r="S49" s="631"/>
      <c r="X49" s="7"/>
      <c r="Y49" s="7"/>
    </row>
    <row r="50" spans="3:25" s="211" customFormat="1" ht="18" customHeight="1">
      <c r="C50" s="211">
        <v>1</v>
      </c>
      <c r="D50" s="628" t="s">
        <v>633</v>
      </c>
      <c r="E50" s="703">
        <v>2503</v>
      </c>
      <c r="F50" s="629" t="s">
        <v>110</v>
      </c>
      <c r="G50" s="414">
        <v>1000</v>
      </c>
      <c r="H50" s="414"/>
      <c r="I50" s="414" t="s">
        <v>474</v>
      </c>
      <c r="J50" s="211">
        <f>+L50</f>
        <v>1048123256</v>
      </c>
      <c r="K50" s="414" t="s">
        <v>474</v>
      </c>
      <c r="L50" s="630">
        <f>ROUND(SUMIF(T_BS!$F:$F,T198_TB!E50,T_BS!$W:$W),0)+SUMIF($T$5:$T$8,E50,$V$5:$V$8)</f>
        <v>1048123256</v>
      </c>
      <c r="N50" s="211" t="s">
        <v>0</v>
      </c>
      <c r="Q50" s="698"/>
      <c r="R50" s="699"/>
      <c r="S50" s="631"/>
      <c r="X50" s="7"/>
      <c r="Y50" s="7"/>
    </row>
    <row r="51" spans="3:25" s="211" customFormat="1" ht="18" customHeight="1">
      <c r="C51" s="211">
        <v>1</v>
      </c>
      <c r="D51" s="628" t="s">
        <v>633</v>
      </c>
      <c r="E51" s="703">
        <v>2505</v>
      </c>
      <c r="F51" s="629" t="s">
        <v>123</v>
      </c>
      <c r="G51" s="414">
        <v>1000</v>
      </c>
      <c r="H51" s="414"/>
      <c r="I51" s="414" t="s">
        <v>474</v>
      </c>
      <c r="J51" s="211">
        <f t="shared" si="1"/>
        <v>3477286244</v>
      </c>
      <c r="K51" s="414" t="s">
        <v>474</v>
      </c>
      <c r="L51" s="630">
        <f>ROUND(SUMIF(T_BS!$F:$F,T198_TB!E51,T_BS!$W:$W),0)+SUMIF($T$5:$T$8,E51,$V$5:$V$8)</f>
        <v>3477286244</v>
      </c>
      <c r="N51" s="211" t="s">
        <v>0</v>
      </c>
      <c r="Q51" s="698">
        <v>652260854</v>
      </c>
      <c r="R51" s="699">
        <f t="shared" ref="R51:R60" si="5">Q51-L51</f>
        <v>-2825025390</v>
      </c>
      <c r="S51" s="631"/>
      <c r="X51" s="7"/>
      <c r="Y51" s="7"/>
    </row>
    <row r="52" spans="3:25" s="211" customFormat="1" ht="18" customHeight="1">
      <c r="C52" s="211">
        <v>1</v>
      </c>
      <c r="D52" s="628" t="s">
        <v>633</v>
      </c>
      <c r="E52" s="703">
        <v>2509</v>
      </c>
      <c r="F52" s="629" t="s">
        <v>2028</v>
      </c>
      <c r="G52" s="414">
        <v>1000</v>
      </c>
      <c r="H52" s="414"/>
      <c r="I52" s="414" t="s">
        <v>474</v>
      </c>
      <c r="J52" s="211">
        <f>+L52</f>
        <v>462235490</v>
      </c>
      <c r="K52" s="414" t="s">
        <v>474</v>
      </c>
      <c r="L52" s="630">
        <f>ROUND(SUMIF(T_BS!$F:$F,T198_TB!E52,T_BS!$W:$W),0)+SUMIF($T$5:$T$8,E52,$V$5:$V$8)</f>
        <v>462235490</v>
      </c>
      <c r="N52" s="211" t="s">
        <v>0</v>
      </c>
      <c r="Q52" s="698">
        <v>1265447535</v>
      </c>
      <c r="R52" s="699">
        <f t="shared" si="5"/>
        <v>803212045</v>
      </c>
      <c r="S52" s="631"/>
      <c r="X52" s="7"/>
      <c r="Y52" s="7"/>
    </row>
    <row r="53" spans="3:25" s="211" customFormat="1" ht="18" customHeight="1">
      <c r="C53" s="211">
        <v>1</v>
      </c>
      <c r="D53" s="628" t="s">
        <v>633</v>
      </c>
      <c r="E53" s="703">
        <v>2507</v>
      </c>
      <c r="F53" s="629" t="s">
        <v>651</v>
      </c>
      <c r="G53" s="414">
        <v>1000</v>
      </c>
      <c r="H53" s="414"/>
      <c r="I53" s="414" t="s">
        <v>474</v>
      </c>
      <c r="J53" s="211">
        <f t="shared" si="1"/>
        <v>5086224150</v>
      </c>
      <c r="K53" s="414" t="s">
        <v>474</v>
      </c>
      <c r="L53" s="630">
        <f>ROUND(SUMIF(T_BS!$F:$F,T198_TB!E53,T_BS!$W:$W),0)+SUMIF($T$5:$T$8,E53,$V$5:$V$8)</f>
        <v>5086224150</v>
      </c>
      <c r="N53" s="211" t="s">
        <v>0</v>
      </c>
      <c r="Q53" s="698">
        <v>1265447535</v>
      </c>
      <c r="R53" s="699">
        <f t="shared" si="5"/>
        <v>-3820776615</v>
      </c>
      <c r="S53" s="631"/>
      <c r="X53" s="7"/>
      <c r="Y53" s="7"/>
    </row>
    <row r="54" spans="3:25" s="211" customFormat="1" ht="18" customHeight="1">
      <c r="C54" s="211">
        <v>1</v>
      </c>
      <c r="D54" s="628" t="s">
        <v>633</v>
      </c>
      <c r="E54" s="703">
        <v>2508</v>
      </c>
      <c r="F54" s="629" t="s">
        <v>129</v>
      </c>
      <c r="G54" s="414">
        <v>1000</v>
      </c>
      <c r="H54" s="414"/>
      <c r="I54" s="414" t="s">
        <v>474</v>
      </c>
      <c r="J54" s="211">
        <f t="shared" si="1"/>
        <v>6115530186</v>
      </c>
      <c r="K54" s="414" t="s">
        <v>474</v>
      </c>
      <c r="L54" s="630">
        <f>ROUND(SUMIF(T_BS!$F:$F,T198_TB!E54,T_BS!$W:$W),0)+SUMIF($T$5:$T$8,E54,$V$5:$V$8)</f>
        <v>6115530186</v>
      </c>
      <c r="N54" s="211" t="s">
        <v>0</v>
      </c>
      <c r="Q54" s="698">
        <v>4044414803</v>
      </c>
      <c r="R54" s="699">
        <f t="shared" si="5"/>
        <v>-2071115383</v>
      </c>
      <c r="S54" s="631"/>
      <c r="X54" s="7"/>
      <c r="Y54" s="7"/>
    </row>
    <row r="55" spans="3:25" s="211" customFormat="1" ht="18" customHeight="1">
      <c r="C55" s="211">
        <v>1</v>
      </c>
      <c r="D55" s="628" t="s">
        <v>633</v>
      </c>
      <c r="E55" s="703">
        <v>1213</v>
      </c>
      <c r="F55" s="629" t="s">
        <v>37</v>
      </c>
      <c r="G55" s="414">
        <v>1000</v>
      </c>
      <c r="H55" s="414"/>
      <c r="I55" s="414" t="s">
        <v>474</v>
      </c>
      <c r="J55" s="211">
        <f t="shared" si="1"/>
        <v>0</v>
      </c>
      <c r="K55" s="414" t="s">
        <v>474</v>
      </c>
      <c r="L55" s="630">
        <f>ROUND(SUMIF(T_BS!$F:$F,T198_TB!E55,T_BS!$W:$W),0)+SUMIF($T$5:$T$8,E55,$V$5:$V$8)</f>
        <v>0</v>
      </c>
      <c r="N55" s="211" t="s">
        <v>0</v>
      </c>
      <c r="Q55" s="698">
        <v>14018587607</v>
      </c>
      <c r="R55" s="699">
        <f t="shared" si="5"/>
        <v>14018587607</v>
      </c>
      <c r="S55" s="631"/>
      <c r="X55" s="7"/>
      <c r="Y55" s="7"/>
    </row>
    <row r="56" spans="3:25" s="211" customFormat="1" ht="18" customHeight="1">
      <c r="C56" s="211">
        <v>1</v>
      </c>
      <c r="D56" s="628" t="s">
        <v>633</v>
      </c>
      <c r="E56" s="703" t="s">
        <v>2006</v>
      </c>
      <c r="F56" s="629" t="s">
        <v>75</v>
      </c>
      <c r="G56" s="414">
        <v>1000</v>
      </c>
      <c r="H56" s="414"/>
      <c r="I56" s="414" t="s">
        <v>474</v>
      </c>
      <c r="J56" s="211">
        <f t="shared" si="1"/>
        <v>1808574340</v>
      </c>
      <c r="K56" s="414" t="s">
        <v>474</v>
      </c>
      <c r="L56" s="630">
        <f>ROUND(SUMIF(T_BS!$F:$F,T198_TB!E56,T_BS!$W:$W),0)+SUMIF($T$5:$T$8,E56,$V$5:$V$8)</f>
        <v>1808574340</v>
      </c>
      <c r="N56" s="211" t="s">
        <v>0</v>
      </c>
      <c r="Q56" s="698">
        <v>6617914056</v>
      </c>
      <c r="R56" s="699">
        <f t="shared" si="5"/>
        <v>4809339716</v>
      </c>
      <c r="S56" s="631"/>
      <c r="X56" s="7"/>
      <c r="Y56" s="7"/>
    </row>
    <row r="57" spans="3:25" s="211" customFormat="1" ht="18" customHeight="1">
      <c r="C57" s="211">
        <v>1</v>
      </c>
      <c r="D57" s="628" t="s">
        <v>633</v>
      </c>
      <c r="E57" s="703">
        <v>2101</v>
      </c>
      <c r="F57" s="629" t="s">
        <v>2018</v>
      </c>
      <c r="G57" s="414">
        <v>1000</v>
      </c>
      <c r="H57" s="414"/>
      <c r="I57" s="414" t="s">
        <v>474</v>
      </c>
      <c r="J57" s="211">
        <f>+L57</f>
        <v>1257560</v>
      </c>
      <c r="K57" s="414" t="s">
        <v>474</v>
      </c>
      <c r="L57" s="630">
        <f>ROUND(SUMIF(T_BS!$F:$F,T198_TB!E57,T_BS!$W:$W),0)+SUMIF($T$5:$T$8,E57,$V$5:$V$8)</f>
        <v>1257560</v>
      </c>
      <c r="N57" s="211" t="s">
        <v>0</v>
      </c>
      <c r="Q57" s="698">
        <v>1907268967</v>
      </c>
      <c r="R57" s="699">
        <f t="shared" si="5"/>
        <v>1906011407</v>
      </c>
      <c r="S57" s="631"/>
      <c r="X57" s="7"/>
      <c r="Y57" s="7"/>
    </row>
    <row r="58" spans="3:25" s="211" customFormat="1" ht="18" customHeight="1">
      <c r="C58" s="211">
        <v>1</v>
      </c>
      <c r="D58" s="628" t="s">
        <v>633</v>
      </c>
      <c r="E58" s="703" t="s">
        <v>2007</v>
      </c>
      <c r="F58" s="629" t="s">
        <v>2019</v>
      </c>
      <c r="G58" s="414">
        <v>1000</v>
      </c>
      <c r="H58" s="414"/>
      <c r="I58" s="414" t="s">
        <v>474</v>
      </c>
      <c r="J58" s="211">
        <f t="shared" si="1"/>
        <v>-159435455</v>
      </c>
      <c r="K58" s="414" t="s">
        <v>474</v>
      </c>
      <c r="L58" s="630">
        <f>ROUND(SUMIF(T_BS!$F:$F,T198_TB!E58,T_BS!$W:$W),0)+SUMIF($T$5:$T$8,E58,$V$5:$V$8)</f>
        <v>-159435455</v>
      </c>
      <c r="N58" s="211" t="s">
        <v>0</v>
      </c>
      <c r="Q58" s="698">
        <v>1907268967</v>
      </c>
      <c r="R58" s="699">
        <f t="shared" si="5"/>
        <v>2066704422</v>
      </c>
      <c r="S58" s="631"/>
      <c r="X58" s="7"/>
      <c r="Y58" s="7"/>
    </row>
    <row r="59" spans="3:25" s="211" customFormat="1" ht="18" customHeight="1">
      <c r="C59" s="211">
        <v>1</v>
      </c>
      <c r="D59" s="628" t="s">
        <v>633</v>
      </c>
      <c r="E59" s="703">
        <v>2603</v>
      </c>
      <c r="F59" s="629" t="s">
        <v>1850</v>
      </c>
      <c r="G59" s="414">
        <v>1000</v>
      </c>
      <c r="H59" s="414"/>
      <c r="I59" s="414" t="s">
        <v>474</v>
      </c>
      <c r="J59" s="211">
        <f t="shared" si="1"/>
        <v>0</v>
      </c>
      <c r="K59" s="414" t="s">
        <v>474</v>
      </c>
      <c r="L59" s="630">
        <f>ROUND(SUMIF(T_BS!$F:$F,T198_TB!E59,T_BS!$W:$W),0)+SUMIF($T$5:$T$8,E59,$V$5:$V$8)</f>
        <v>0</v>
      </c>
      <c r="N59" s="211" t="s">
        <v>0</v>
      </c>
      <c r="Q59" s="698">
        <v>996359683</v>
      </c>
      <c r="R59" s="699">
        <f t="shared" si="5"/>
        <v>996359683</v>
      </c>
      <c r="S59" s="631"/>
      <c r="X59" s="7"/>
      <c r="Y59" s="7"/>
    </row>
    <row r="60" spans="3:25" s="211" customFormat="1" ht="18" customHeight="1">
      <c r="C60" s="211">
        <v>1</v>
      </c>
      <c r="D60" s="628" t="s">
        <v>633</v>
      </c>
      <c r="E60" s="703">
        <v>2302</v>
      </c>
      <c r="F60" s="629" t="s">
        <v>136</v>
      </c>
      <c r="G60" s="414">
        <v>1000</v>
      </c>
      <c r="H60" s="414"/>
      <c r="I60" s="414" t="s">
        <v>474</v>
      </c>
      <c r="J60" s="211">
        <f t="shared" si="1"/>
        <v>0</v>
      </c>
      <c r="K60" s="414" t="s">
        <v>474</v>
      </c>
      <c r="L60" s="630">
        <f>ROUND(SUMIF(T_BS!$F:$F,T198_TB!E60,T_BS!$W:$W),0)+SUMIF($T$5:$T$8,E60,$V$5:$V$8)</f>
        <v>0</v>
      </c>
      <c r="N60" s="211" t="s">
        <v>0</v>
      </c>
      <c r="Q60" s="698">
        <v>18344461</v>
      </c>
      <c r="R60" s="699">
        <f t="shared" si="5"/>
        <v>18344461</v>
      </c>
      <c r="S60" s="631"/>
      <c r="X60" s="7"/>
      <c r="Y60" s="7"/>
    </row>
    <row r="61" spans="3:25" s="211" customFormat="1" ht="18" customHeight="1">
      <c r="C61" s="211">
        <v>1</v>
      </c>
      <c r="D61" s="628" t="s">
        <v>633</v>
      </c>
      <c r="E61" s="703" t="s">
        <v>2016</v>
      </c>
      <c r="F61" s="629" t="s">
        <v>1906</v>
      </c>
      <c r="G61" s="414">
        <v>1000</v>
      </c>
      <c r="H61" s="414"/>
      <c r="I61" s="414" t="s">
        <v>474</v>
      </c>
      <c r="J61" s="211">
        <f>+L61</f>
        <v>0</v>
      </c>
      <c r="K61" s="414" t="s">
        <v>474</v>
      </c>
      <c r="L61" s="630">
        <f>ROUND(SUMIF(T_BS!$F:$F,T198_TB!E61,T_BS!$W:$W),0)</f>
        <v>0</v>
      </c>
      <c r="N61" s="211" t="s">
        <v>0</v>
      </c>
      <c r="Q61" s="698"/>
      <c r="R61" s="699"/>
      <c r="S61" s="631"/>
      <c r="X61" s="7"/>
      <c r="Y61" s="7"/>
    </row>
    <row r="62" spans="3:25" s="211" customFormat="1" ht="18" customHeight="1">
      <c r="C62" s="211">
        <v>1</v>
      </c>
      <c r="D62" s="628" t="s">
        <v>633</v>
      </c>
      <c r="E62" s="703">
        <v>3101</v>
      </c>
      <c r="F62" s="629" t="s">
        <v>652</v>
      </c>
      <c r="G62" s="414">
        <v>1000</v>
      </c>
      <c r="H62" s="414"/>
      <c r="I62" s="414" t="s">
        <v>474</v>
      </c>
      <c r="J62" s="211">
        <f t="shared" si="1"/>
        <v>-32668528967</v>
      </c>
      <c r="K62" s="414" t="s">
        <v>474</v>
      </c>
      <c r="L62" s="630">
        <f>-ROUND(SUMIF(T_BS!$F:$F,T198_TB!E62,T_BS!$W:$W),0)+SUMIF($T$5:$T$8,15,$V$5:$V$8)</f>
        <v>-32668528967</v>
      </c>
      <c r="N62" s="211" t="s">
        <v>8</v>
      </c>
      <c r="Q62" s="698">
        <v>-27342092791</v>
      </c>
      <c r="R62" s="699">
        <f t="shared" ref="R62:R93" si="6">Q62-L62</f>
        <v>5326436176</v>
      </c>
      <c r="S62" s="631"/>
      <c r="X62" s="7"/>
      <c r="Y62" s="7"/>
    </row>
    <row r="63" spans="3:25" s="211" customFormat="1" ht="18" customHeight="1">
      <c r="C63" s="211">
        <v>1</v>
      </c>
      <c r="D63" s="628" t="s">
        <v>633</v>
      </c>
      <c r="E63" s="703">
        <v>3405</v>
      </c>
      <c r="F63" s="629" t="s">
        <v>653</v>
      </c>
      <c r="G63" s="414">
        <v>1000</v>
      </c>
      <c r="H63" s="414"/>
      <c r="I63" s="414" t="s">
        <v>474</v>
      </c>
      <c r="J63" s="211">
        <f t="shared" si="1"/>
        <v>0</v>
      </c>
      <c r="K63" s="414" t="s">
        <v>474</v>
      </c>
      <c r="L63" s="630">
        <f>-ROUND(SUMIF(T_BS!$F:$F,T198_TB!E63,T_BS!$W:$W),0)+SUMIF($T$5:$T$8,15,$V$5:$V$8)</f>
        <v>0</v>
      </c>
      <c r="N63" s="211" t="s">
        <v>8</v>
      </c>
      <c r="Q63" s="698">
        <v>0</v>
      </c>
      <c r="R63" s="699">
        <f t="shared" si="6"/>
        <v>0</v>
      </c>
      <c r="S63" s="631"/>
      <c r="X63" s="7"/>
      <c r="Y63" s="7"/>
    </row>
    <row r="64" spans="3:25" s="211" customFormat="1" ht="18" customHeight="1">
      <c r="C64" s="211">
        <v>1</v>
      </c>
      <c r="D64" s="628" t="s">
        <v>633</v>
      </c>
      <c r="E64" s="703">
        <v>3102</v>
      </c>
      <c r="F64" s="629" t="s">
        <v>654</v>
      </c>
      <c r="G64" s="414">
        <v>1000</v>
      </c>
      <c r="H64" s="414"/>
      <c r="I64" s="414" t="s">
        <v>474</v>
      </c>
      <c r="J64" s="211">
        <f t="shared" si="1"/>
        <v>-25682193710</v>
      </c>
      <c r="K64" s="414" t="s">
        <v>474</v>
      </c>
      <c r="L64" s="630">
        <f>-ROUND(SUMIF(T_BS!$F:$F,T198_TB!E64,T_BS!$W:$W),0)+SUMIF($T$5:$T$8,15,$V$5:$V$8)</f>
        <v>-25682193710</v>
      </c>
      <c r="N64" s="211" t="s">
        <v>8</v>
      </c>
      <c r="Q64" s="698">
        <v>-5730909970</v>
      </c>
      <c r="R64" s="699">
        <f t="shared" si="6"/>
        <v>19951283740</v>
      </c>
      <c r="S64" s="631"/>
      <c r="X64" s="7"/>
      <c r="Y64" s="7"/>
    </row>
    <row r="65" spans="3:25" s="211" customFormat="1" ht="18" customHeight="1">
      <c r="C65" s="211">
        <v>1</v>
      </c>
      <c r="D65" s="628" t="s">
        <v>633</v>
      </c>
      <c r="E65" s="703">
        <v>3401</v>
      </c>
      <c r="F65" s="629" t="s">
        <v>655</v>
      </c>
      <c r="G65" s="414">
        <v>1000</v>
      </c>
      <c r="H65" s="414"/>
      <c r="I65" s="414" t="s">
        <v>474</v>
      </c>
      <c r="J65" s="211">
        <f t="shared" si="1"/>
        <v>-1156001</v>
      </c>
      <c r="K65" s="414" t="s">
        <v>474</v>
      </c>
      <c r="L65" s="630">
        <f>-ROUND(SUMIF(T_BS!$F:$F,T198_TB!E65,T_BS!$W:$W),0)+SUMIF($T$5:$T$8,15,$V$5:$V$8)</f>
        <v>-1156001</v>
      </c>
      <c r="N65" s="211" t="s">
        <v>8</v>
      </c>
      <c r="Q65" s="698">
        <v>0</v>
      </c>
      <c r="R65" s="699">
        <f t="shared" si="6"/>
        <v>1156001</v>
      </c>
      <c r="S65" s="631"/>
      <c r="X65" s="7"/>
      <c r="Y65" s="7"/>
    </row>
    <row r="66" spans="3:25" s="211" customFormat="1" ht="18" customHeight="1">
      <c r="C66" s="211">
        <v>1</v>
      </c>
      <c r="D66" s="628" t="s">
        <v>633</v>
      </c>
      <c r="E66" s="703">
        <v>3402</v>
      </c>
      <c r="F66" s="629" t="s">
        <v>656</v>
      </c>
      <c r="G66" s="414">
        <v>1000</v>
      </c>
      <c r="H66" s="414"/>
      <c r="I66" s="414" t="s">
        <v>474</v>
      </c>
      <c r="J66" s="211">
        <f t="shared" si="1"/>
        <v>-1596310763</v>
      </c>
      <c r="K66" s="414" t="s">
        <v>474</v>
      </c>
      <c r="L66" s="630">
        <f>-ROUND(SUMIF(T_BS!$F:$F,T198_TB!E66,T_BS!$W:$W),0)+SUMIF($T$5:$T$8,15,$V$5:$V$8)</f>
        <v>-1596310763</v>
      </c>
      <c r="N66" s="211" t="s">
        <v>8</v>
      </c>
      <c r="Q66" s="698">
        <v>-5133463786</v>
      </c>
      <c r="R66" s="699">
        <f t="shared" si="6"/>
        <v>-3537153023</v>
      </c>
      <c r="S66" s="631"/>
      <c r="X66" s="7"/>
      <c r="Y66" s="7"/>
    </row>
    <row r="67" spans="3:25" s="211" customFormat="1" ht="18" customHeight="1">
      <c r="C67" s="211">
        <v>1</v>
      </c>
      <c r="D67" s="628" t="s">
        <v>633</v>
      </c>
      <c r="E67" s="703">
        <v>3201</v>
      </c>
      <c r="F67" s="629" t="s">
        <v>657</v>
      </c>
      <c r="G67" s="414">
        <v>1000</v>
      </c>
      <c r="H67" s="414"/>
      <c r="I67" s="414" t="s">
        <v>474</v>
      </c>
      <c r="J67" s="211">
        <f t="shared" si="1"/>
        <v>-3057354</v>
      </c>
      <c r="K67" s="414" t="s">
        <v>474</v>
      </c>
      <c r="L67" s="630">
        <f>-ROUND(SUMIF(T_BS!$F:$F,T198_TB!E67,T_BS!$W:$W),0)+SUMIF($T$5:$T$8,15,$V$5:$V$8)</f>
        <v>-3057354</v>
      </c>
      <c r="N67" s="211" t="s">
        <v>8</v>
      </c>
      <c r="Q67" s="698">
        <v>-61759957</v>
      </c>
      <c r="R67" s="699">
        <f t="shared" si="6"/>
        <v>-58702603</v>
      </c>
      <c r="S67" s="631"/>
      <c r="X67" s="7"/>
      <c r="Y67" s="7"/>
    </row>
    <row r="68" spans="3:25" s="211" customFormat="1" ht="18" customHeight="1">
      <c r="C68" s="211">
        <v>1</v>
      </c>
      <c r="D68" s="628" t="s">
        <v>633</v>
      </c>
      <c r="E68" s="703">
        <v>3103</v>
      </c>
      <c r="F68" s="629" t="s">
        <v>658</v>
      </c>
      <c r="G68" s="414">
        <v>1000</v>
      </c>
      <c r="H68" s="414"/>
      <c r="I68" s="414" t="s">
        <v>474</v>
      </c>
      <c r="J68" s="211">
        <f t="shared" si="1"/>
        <v>-2582368062</v>
      </c>
      <c r="K68" s="414" t="s">
        <v>474</v>
      </c>
      <c r="L68" s="630">
        <f>-ROUND(SUMIF(T_BS!$F:$F,T198_TB!E68,T_BS!$W:$W),0)+SUMIF($T$5:$T$8,15,$V$5:$V$8)</f>
        <v>-2582368062</v>
      </c>
      <c r="N68" s="211" t="s">
        <v>8</v>
      </c>
      <c r="Q68" s="698">
        <v>-3102308085</v>
      </c>
      <c r="R68" s="699">
        <f t="shared" si="6"/>
        <v>-519940023</v>
      </c>
      <c r="S68" s="631"/>
      <c r="X68" s="7"/>
      <c r="Y68" s="7"/>
    </row>
    <row r="69" spans="3:25" s="211" customFormat="1" ht="18" customHeight="1">
      <c r="C69" s="211">
        <v>1</v>
      </c>
      <c r="D69" s="628" t="s">
        <v>633</v>
      </c>
      <c r="E69" s="703">
        <v>3501</v>
      </c>
      <c r="F69" s="629" t="s">
        <v>659</v>
      </c>
      <c r="G69" s="414">
        <v>1000</v>
      </c>
      <c r="H69" s="414"/>
      <c r="I69" s="414" t="s">
        <v>474</v>
      </c>
      <c r="J69" s="211">
        <f t="shared" si="1"/>
        <v>0</v>
      </c>
      <c r="K69" s="414" t="s">
        <v>474</v>
      </c>
      <c r="L69" s="630">
        <f>-ROUND(SUMIF(T_BS!$F:$F,T198_TB!E69,T_BS!$W:$W),0)+SUMIF($T$5:$T$8,15,$V$5:$V$8)</f>
        <v>0</v>
      </c>
      <c r="N69" s="211" t="s">
        <v>8</v>
      </c>
      <c r="Q69" s="698">
        <v>0</v>
      </c>
      <c r="R69" s="699">
        <f t="shared" si="6"/>
        <v>0</v>
      </c>
      <c r="S69" s="631"/>
      <c r="X69" s="7"/>
      <c r="Y69" s="7"/>
    </row>
    <row r="70" spans="3:25" s="211" customFormat="1" ht="18" customHeight="1">
      <c r="C70" s="211">
        <v>1</v>
      </c>
      <c r="D70" s="628" t="s">
        <v>633</v>
      </c>
      <c r="E70" s="703">
        <v>3503</v>
      </c>
      <c r="F70" s="629" t="s">
        <v>660</v>
      </c>
      <c r="G70" s="414">
        <v>1000</v>
      </c>
      <c r="H70" s="414"/>
      <c r="I70" s="414" t="s">
        <v>474</v>
      </c>
      <c r="J70" s="211">
        <f t="shared" si="1"/>
        <v>0</v>
      </c>
      <c r="K70" s="414" t="s">
        <v>474</v>
      </c>
      <c r="L70" s="630">
        <f>-ROUND(SUMIF(T_BS!$F:$F,T198_TB!E70,T_BS!$W:$W),0)+SUMIF($T$5:$T$8,15,$V$5:$V$8)</f>
        <v>0</v>
      </c>
      <c r="N70" s="211" t="s">
        <v>8</v>
      </c>
      <c r="Q70" s="698">
        <v>0</v>
      </c>
      <c r="R70" s="699">
        <f t="shared" si="6"/>
        <v>0</v>
      </c>
      <c r="S70" s="631"/>
      <c r="X70" s="7"/>
      <c r="Y70" s="7"/>
    </row>
    <row r="71" spans="3:25" s="211" customFormat="1" ht="18" customHeight="1">
      <c r="C71" s="211">
        <v>1</v>
      </c>
      <c r="D71" s="628" t="s">
        <v>633</v>
      </c>
      <c r="E71" s="703">
        <v>3502</v>
      </c>
      <c r="F71" s="629" t="s">
        <v>661</v>
      </c>
      <c r="G71" s="414">
        <v>1000</v>
      </c>
      <c r="H71" s="414"/>
      <c r="I71" s="414" t="s">
        <v>474</v>
      </c>
      <c r="J71" s="211">
        <f t="shared" si="1"/>
        <v>0</v>
      </c>
      <c r="K71" s="414" t="s">
        <v>474</v>
      </c>
      <c r="L71" s="630">
        <f>-ROUND(SUMIF(T_BS!$F:$F,T198_TB!E71,T_BS!$W:$W),0)+SUMIF($T$5:$T$8,15,$V$5:$V$8)</f>
        <v>0</v>
      </c>
      <c r="N71" s="211" t="s">
        <v>8</v>
      </c>
      <c r="Q71" s="698">
        <v>0</v>
      </c>
      <c r="R71" s="699">
        <f t="shared" si="6"/>
        <v>0</v>
      </c>
      <c r="S71" s="631"/>
      <c r="X71" s="7"/>
      <c r="Y71" s="7"/>
    </row>
    <row r="72" spans="3:25" s="211" customFormat="1" ht="18" customHeight="1">
      <c r="C72" s="211">
        <v>1</v>
      </c>
      <c r="D72" s="628" t="s">
        <v>633</v>
      </c>
      <c r="E72" s="703">
        <v>3504</v>
      </c>
      <c r="F72" s="632" t="s">
        <v>1646</v>
      </c>
      <c r="G72" s="414">
        <v>1000</v>
      </c>
      <c r="H72" s="414"/>
      <c r="I72" s="414" t="s">
        <v>474</v>
      </c>
      <c r="J72" s="211">
        <f t="shared" si="1"/>
        <v>-2631820890</v>
      </c>
      <c r="K72" s="414" t="s">
        <v>474</v>
      </c>
      <c r="L72" s="630">
        <f>-ROUND(SUMIF(T_BS!$F:$F,T198_TB!E72,T_BS!$W:$W),0)+SUMIF($T$5:$T$8,15,$V$5:$V$8)</f>
        <v>-2631820890</v>
      </c>
      <c r="N72" s="211" t="s">
        <v>8</v>
      </c>
      <c r="Q72" s="698">
        <v>-2332412990</v>
      </c>
      <c r="R72" s="699">
        <f t="shared" si="6"/>
        <v>299407900</v>
      </c>
      <c r="S72" s="631"/>
      <c r="X72" s="7"/>
      <c r="Y72" s="7"/>
    </row>
    <row r="73" spans="3:25" s="211" customFormat="1" ht="18" customHeight="1">
      <c r="C73" s="211">
        <v>1</v>
      </c>
      <c r="D73" s="628" t="s">
        <v>633</v>
      </c>
      <c r="E73" s="721">
        <v>3404</v>
      </c>
      <c r="F73" s="629" t="s">
        <v>180</v>
      </c>
      <c r="G73" s="414">
        <v>1000</v>
      </c>
      <c r="H73" s="414"/>
      <c r="I73" s="414" t="s">
        <v>474</v>
      </c>
      <c r="J73" s="211">
        <f t="shared" si="1"/>
        <v>-327831696</v>
      </c>
      <c r="K73" s="414" t="s">
        <v>474</v>
      </c>
      <c r="L73" s="630">
        <f>-ROUND(SUMIF(T_BS!$F:$F,T198_TB!E73,T_BS!$W:$W),0)+SUMIF($T$5:$T$8,15,$V$5:$V$8)</f>
        <v>-327831696</v>
      </c>
      <c r="N73" s="211" t="s">
        <v>8</v>
      </c>
      <c r="Q73" s="698">
        <v>-369496026</v>
      </c>
      <c r="R73" s="699">
        <f t="shared" si="6"/>
        <v>-41664330</v>
      </c>
      <c r="S73" s="631"/>
      <c r="X73" s="7"/>
      <c r="Y73" s="7"/>
    </row>
    <row r="74" spans="3:25" s="211" customFormat="1" ht="18" customHeight="1">
      <c r="C74" s="211">
        <v>1</v>
      </c>
      <c r="D74" s="628" t="s">
        <v>633</v>
      </c>
      <c r="E74" s="721">
        <v>3403</v>
      </c>
      <c r="F74" s="629" t="s">
        <v>662</v>
      </c>
      <c r="G74" s="414">
        <v>1000</v>
      </c>
      <c r="H74" s="414"/>
      <c r="I74" s="414" t="s">
        <v>474</v>
      </c>
      <c r="J74" s="211">
        <f t="shared" si="1"/>
        <v>0</v>
      </c>
      <c r="K74" s="414" t="s">
        <v>474</v>
      </c>
      <c r="L74" s="630">
        <f>-ROUND(SUMIF(T_BS!$F:$F,T198_TB!E74,T_BS!$W:$W),0)+SUMIF($T$5:$T$8,15,$V$5:$V$8)</f>
        <v>0</v>
      </c>
      <c r="N74" s="211" t="s">
        <v>8</v>
      </c>
      <c r="Q74" s="698">
        <v>0</v>
      </c>
      <c r="R74" s="699">
        <f t="shared" si="6"/>
        <v>0</v>
      </c>
      <c r="S74" s="631"/>
      <c r="X74" s="7"/>
      <c r="Y74" s="7"/>
    </row>
    <row r="75" spans="3:25" s="211" customFormat="1" ht="18" customHeight="1">
      <c r="C75" s="211">
        <v>1</v>
      </c>
      <c r="D75" s="628" t="s">
        <v>633</v>
      </c>
      <c r="E75" s="703">
        <v>4601</v>
      </c>
      <c r="F75" s="629" t="s">
        <v>1647</v>
      </c>
      <c r="G75" s="414">
        <v>1000</v>
      </c>
      <c r="H75" s="414"/>
      <c r="I75" s="414" t="s">
        <v>474</v>
      </c>
      <c r="J75" s="211">
        <f t="shared" si="1"/>
        <v>-2715155001</v>
      </c>
      <c r="K75" s="414" t="s">
        <v>474</v>
      </c>
      <c r="L75" s="630">
        <f>-ROUND(SUMIF(T_BS!$F:$F,T198_TB!E75,T_BS!$W:$W),0)+SUMIF($T$5:$T$8,15,$V$5:$V$8)</f>
        <v>-2715155001</v>
      </c>
      <c r="N75" s="211" t="s">
        <v>8</v>
      </c>
      <c r="Q75" s="698">
        <v>-460682656</v>
      </c>
      <c r="R75" s="699">
        <f t="shared" si="6"/>
        <v>2254472345</v>
      </c>
      <c r="S75" s="631"/>
      <c r="X75" s="7"/>
      <c r="Y75" s="7"/>
    </row>
    <row r="76" spans="3:25" s="211" customFormat="1" ht="18" customHeight="1">
      <c r="C76" s="211">
        <v>1</v>
      </c>
      <c r="D76" s="628" t="s">
        <v>633</v>
      </c>
      <c r="E76" s="703">
        <v>4201</v>
      </c>
      <c r="F76" s="629" t="s">
        <v>663</v>
      </c>
      <c r="G76" s="414">
        <v>1000</v>
      </c>
      <c r="H76" s="414"/>
      <c r="I76" s="414" t="s">
        <v>474</v>
      </c>
      <c r="J76" s="211">
        <f t="shared" si="1"/>
        <v>-6731667294</v>
      </c>
      <c r="K76" s="414" t="s">
        <v>474</v>
      </c>
      <c r="L76" s="630">
        <f>-ROUND(SUMIF(T_BS!$F:$F,T198_TB!E76,T_BS!$W:$W),0)+SUMIF($T$5:$T$8,15,$V$5:$V$8)</f>
        <v>-6731667294</v>
      </c>
      <c r="N76" s="211" t="s">
        <v>8</v>
      </c>
      <c r="Q76" s="698">
        <v>-5531260072</v>
      </c>
      <c r="R76" s="699">
        <f t="shared" si="6"/>
        <v>1200407222</v>
      </c>
      <c r="S76" s="631"/>
      <c r="X76" s="7"/>
      <c r="Y76" s="7"/>
    </row>
    <row r="77" spans="3:25" s="211" customFormat="1" ht="18" customHeight="1">
      <c r="C77" s="211">
        <v>1</v>
      </c>
      <c r="D77" s="628" t="s">
        <v>633</v>
      </c>
      <c r="E77" s="703">
        <v>4202</v>
      </c>
      <c r="F77" s="629" t="s">
        <v>664</v>
      </c>
      <c r="G77" s="414">
        <v>1000</v>
      </c>
      <c r="H77" s="414"/>
      <c r="I77" s="414" t="s">
        <v>474</v>
      </c>
      <c r="J77" s="211">
        <f t="shared" si="1"/>
        <v>5908936840</v>
      </c>
      <c r="K77" s="414" t="s">
        <v>474</v>
      </c>
      <c r="L77" s="630">
        <f>-ROUND(SUMIF(T_BS!$F:$F,T198_TB!E77,T_BS!$W:$W),0)+SUMIF($T$5:$T$8,15,$V$5:$V$8)</f>
        <v>5908936840</v>
      </c>
      <c r="N77" s="211" t="s">
        <v>8</v>
      </c>
      <c r="Q77" s="698">
        <v>4315590801</v>
      </c>
      <c r="R77" s="699">
        <f t="shared" si="6"/>
        <v>-1593346039</v>
      </c>
      <c r="S77" s="631"/>
      <c r="X77" s="7"/>
      <c r="Y77" s="7"/>
    </row>
    <row r="78" spans="3:25" s="211" customFormat="1" ht="18" customHeight="1">
      <c r="C78" s="211">
        <v>1</v>
      </c>
      <c r="D78" s="628" t="s">
        <v>633</v>
      </c>
      <c r="E78" s="703">
        <v>4402</v>
      </c>
      <c r="F78" s="629" t="s">
        <v>188</v>
      </c>
      <c r="G78" s="414">
        <v>1000</v>
      </c>
      <c r="H78" s="414"/>
      <c r="I78" s="414" t="s">
        <v>474</v>
      </c>
      <c r="J78" s="211">
        <f t="shared" si="1"/>
        <v>-118883200</v>
      </c>
      <c r="K78" s="414" t="s">
        <v>474</v>
      </c>
      <c r="L78" s="630">
        <f>-ROUND(SUMIF(T_BS!$F:$F,T198_TB!E78,T_BS!$W:$W),0)+SUMIF($T$5:$T$8,15,$V$5:$V$8)</f>
        <v>-118883200</v>
      </c>
      <c r="N78" s="211" t="s">
        <v>8</v>
      </c>
      <c r="Q78" s="698">
        <v>-118066714</v>
      </c>
      <c r="R78" s="699">
        <f t="shared" si="6"/>
        <v>816486</v>
      </c>
      <c r="S78" s="631"/>
      <c r="X78" s="7"/>
      <c r="Y78" s="7"/>
    </row>
    <row r="79" spans="3:25" s="211" customFormat="1" ht="18" customHeight="1">
      <c r="C79" s="211">
        <v>1</v>
      </c>
      <c r="D79" s="628" t="s">
        <v>633</v>
      </c>
      <c r="E79" s="703">
        <v>4301</v>
      </c>
      <c r="F79" s="629" t="s">
        <v>665</v>
      </c>
      <c r="G79" s="414">
        <v>1000</v>
      </c>
      <c r="H79" s="414"/>
      <c r="I79" s="414" t="s">
        <v>474</v>
      </c>
      <c r="J79" s="211">
        <f t="shared" si="1"/>
        <v>0</v>
      </c>
      <c r="K79" s="414" t="s">
        <v>474</v>
      </c>
      <c r="L79" s="630">
        <f>-ROUND(SUMIF(T_BS!$F:$F,T198_TB!E79,T_BS!$W:$W),0)+SUMIF($T$5:$T$8,15,$V$5:$V$8)</f>
        <v>0</v>
      </c>
      <c r="N79" s="211" t="s">
        <v>8</v>
      </c>
      <c r="Q79" s="698">
        <v>-1852533634</v>
      </c>
      <c r="R79" s="699">
        <f t="shared" si="6"/>
        <v>-1852533634</v>
      </c>
      <c r="S79" s="631"/>
      <c r="X79" s="7"/>
      <c r="Y79" s="7"/>
    </row>
    <row r="80" spans="3:25" s="211" customFormat="1" ht="18" customHeight="1">
      <c r="C80" s="211">
        <v>1</v>
      </c>
      <c r="D80" s="628" t="s">
        <v>633</v>
      </c>
      <c r="E80" s="703">
        <v>4103</v>
      </c>
      <c r="F80" s="629" t="s">
        <v>1643</v>
      </c>
      <c r="G80" s="414">
        <v>1000</v>
      </c>
      <c r="H80" s="414"/>
      <c r="I80" s="414" t="s">
        <v>474</v>
      </c>
      <c r="J80" s="211">
        <f t="shared" si="1"/>
        <v>0</v>
      </c>
      <c r="K80" s="414" t="s">
        <v>474</v>
      </c>
      <c r="L80" s="630">
        <f>-ROUND(SUMIF(T_BS!$F:$F,T198_TB!E80,T_BS!$W:$W),0)+SUMIF($T$5:$T$8,15,$V$5:$V$8)</f>
        <v>0</v>
      </c>
      <c r="N80" s="211" t="s">
        <v>8</v>
      </c>
      <c r="Q80" s="698">
        <v>0</v>
      </c>
      <c r="R80" s="699">
        <f t="shared" si="6"/>
        <v>0</v>
      </c>
      <c r="S80" s="631"/>
      <c r="X80" s="7"/>
      <c r="Y80" s="7"/>
    </row>
    <row r="81" spans="3:25" s="211" customFormat="1" ht="18" customHeight="1">
      <c r="C81" s="211">
        <v>1</v>
      </c>
      <c r="D81" s="628" t="s">
        <v>633</v>
      </c>
      <c r="E81" s="703">
        <v>112900</v>
      </c>
      <c r="F81" s="629" t="s">
        <v>1649</v>
      </c>
      <c r="G81" s="414">
        <v>1000</v>
      </c>
      <c r="H81" s="414"/>
      <c r="I81" s="414" t="s">
        <v>474</v>
      </c>
      <c r="J81" s="211">
        <f t="shared" si="1"/>
        <v>136472606</v>
      </c>
      <c r="K81" s="414" t="s">
        <v>474</v>
      </c>
      <c r="L81" s="630">
        <f>ROUND(SUMIF(T_BS!$F:$F,T198_TB!E81,T_BS!$W:$W),0)+SUMIF($T$5:$T$8,E81,$V$5:$V$8)</f>
        <v>136472606</v>
      </c>
      <c r="N81" s="211" t="s">
        <v>0</v>
      </c>
      <c r="Q81" s="698">
        <v>28706831</v>
      </c>
      <c r="R81" s="699">
        <f t="shared" si="6"/>
        <v>-107765775</v>
      </c>
      <c r="S81" s="631"/>
      <c r="X81" s="7"/>
      <c r="Y81" s="7"/>
    </row>
    <row r="82" spans="3:25" s="211" customFormat="1" ht="18" customHeight="1">
      <c r="C82" s="211">
        <v>1</v>
      </c>
      <c r="D82" s="628" t="s">
        <v>633</v>
      </c>
      <c r="E82" s="703">
        <v>219000</v>
      </c>
      <c r="F82" s="629" t="s">
        <v>1650</v>
      </c>
      <c r="G82" s="414">
        <v>1000</v>
      </c>
      <c r="H82" s="414"/>
      <c r="I82" s="414" t="s">
        <v>474</v>
      </c>
      <c r="J82" s="211">
        <f t="shared" si="1"/>
        <v>-1883642907</v>
      </c>
      <c r="K82" s="414" t="s">
        <v>474</v>
      </c>
      <c r="L82" s="630">
        <f>-ROUND(SUMIF(T_BS!$F:$F,T198_TB!E82,T_BS!$W:$W),0)+SUMIF($T$5:$T$8,15,$V$5:$V$8)</f>
        <v>-1883642907</v>
      </c>
      <c r="N82" s="211" t="s">
        <v>8</v>
      </c>
      <c r="Q82" s="698">
        <v>-775578928</v>
      </c>
      <c r="R82" s="699">
        <f t="shared" si="6"/>
        <v>1108063979</v>
      </c>
      <c r="S82" s="631"/>
      <c r="X82" s="7"/>
      <c r="Y82" s="7"/>
    </row>
    <row r="83" spans="3:25" s="211" customFormat="1" ht="18" customHeight="1">
      <c r="C83" s="211">
        <v>1</v>
      </c>
      <c r="D83" s="628" t="s">
        <v>633</v>
      </c>
      <c r="E83" s="703">
        <v>5101</v>
      </c>
      <c r="F83" s="629" t="s">
        <v>190</v>
      </c>
      <c r="G83" s="414">
        <v>1000</v>
      </c>
      <c r="H83" s="414"/>
      <c r="I83" s="414" t="s">
        <v>474</v>
      </c>
      <c r="J83" s="211">
        <f t="shared" si="1"/>
        <v>-28429923500</v>
      </c>
      <c r="K83" s="414" t="s">
        <v>474</v>
      </c>
      <c r="L83" s="630">
        <f>-ROUND(SUMIF(T_BS!$F:$F,T198_TB!E83,T_BS!$W:$W),0)+SUMIF($T$5:$T$8,E83,$V$5:$V$8)</f>
        <v>-28429923500</v>
      </c>
      <c r="N83" s="211" t="s">
        <v>547</v>
      </c>
      <c r="Q83" s="698">
        <v>-28429923500</v>
      </c>
      <c r="R83" s="699">
        <f t="shared" si="6"/>
        <v>0</v>
      </c>
      <c r="S83" s="631"/>
      <c r="X83" s="7"/>
      <c r="Y83" s="7"/>
    </row>
    <row r="84" spans="3:25" s="211" customFormat="1" ht="18" customHeight="1">
      <c r="C84" s="211">
        <v>1</v>
      </c>
      <c r="D84" s="628" t="s">
        <v>633</v>
      </c>
      <c r="E84" s="703">
        <v>5201</v>
      </c>
      <c r="F84" s="629" t="s">
        <v>191</v>
      </c>
      <c r="G84" s="414">
        <v>1000</v>
      </c>
      <c r="H84" s="414"/>
      <c r="I84" s="414" t="s">
        <v>474</v>
      </c>
      <c r="J84" s="211">
        <f t="shared" si="1"/>
        <v>-177997002186</v>
      </c>
      <c r="K84" s="414" t="s">
        <v>474</v>
      </c>
      <c r="L84" s="630">
        <f>-ROUND(SUMIF(T_BS!$F:$F,T198_TB!E84,T_BS!$W:$W),0)+SUMIF($T$5:$T$8,E84,$V$5:$V$8)</f>
        <v>-177997002186</v>
      </c>
      <c r="N84" s="211" t="s">
        <v>547</v>
      </c>
      <c r="Q84" s="698">
        <v>-177997002186</v>
      </c>
      <c r="R84" s="699">
        <f t="shared" si="6"/>
        <v>0</v>
      </c>
      <c r="S84" s="631"/>
      <c r="X84" s="7"/>
      <c r="Y84" s="7"/>
    </row>
    <row r="85" spans="3:25" s="211" customFormat="1" ht="18" customHeight="1">
      <c r="C85" s="211">
        <v>1</v>
      </c>
      <c r="D85" s="628" t="s">
        <v>633</v>
      </c>
      <c r="E85" s="703">
        <v>5202</v>
      </c>
      <c r="F85" s="629" t="s">
        <v>666</v>
      </c>
      <c r="G85" s="414">
        <v>1000</v>
      </c>
      <c r="H85" s="414"/>
      <c r="I85" s="414" t="s">
        <v>474</v>
      </c>
      <c r="J85" s="211">
        <f t="shared" ref="J85:J151" si="7">+L85</f>
        <v>-562575670</v>
      </c>
      <c r="K85" s="414" t="s">
        <v>474</v>
      </c>
      <c r="L85" s="630">
        <f>-ROUND(SUMIF(T_BS!$F:$F,T198_TB!E85,T_BS!$W:$W),0)+SUMIF($T$5:$T$8,E85,$V$5:$V$8)</f>
        <v>-562575670</v>
      </c>
      <c r="N85" s="211" t="s">
        <v>547</v>
      </c>
      <c r="Q85" s="698">
        <v>-562575670</v>
      </c>
      <c r="R85" s="699">
        <f t="shared" si="6"/>
        <v>0</v>
      </c>
      <c r="S85" s="631"/>
      <c r="X85" s="7"/>
      <c r="Y85" s="7"/>
    </row>
    <row r="86" spans="3:25" s="211" customFormat="1" ht="18" customHeight="1">
      <c r="C86" s="211">
        <v>1</v>
      </c>
      <c r="D86" s="628" t="s">
        <v>633</v>
      </c>
      <c r="E86" s="703">
        <v>5203</v>
      </c>
      <c r="F86" s="629" t="s">
        <v>192</v>
      </c>
      <c r="G86" s="414">
        <v>1000</v>
      </c>
      <c r="H86" s="414"/>
      <c r="I86" s="414" t="s">
        <v>474</v>
      </c>
      <c r="J86" s="211">
        <f t="shared" si="7"/>
        <v>0</v>
      </c>
      <c r="K86" s="414" t="s">
        <v>474</v>
      </c>
      <c r="L86" s="630">
        <f>-ROUND(SUMIF(T_BS!$F:$F,T198_TB!E86,T_BS!$W:$W),0)+SUMIF($T$5:$T$8,E86,$V$5:$V$8)</f>
        <v>0</v>
      </c>
      <c r="N86" s="211" t="s">
        <v>547</v>
      </c>
      <c r="Q86" s="698">
        <v>0</v>
      </c>
      <c r="R86" s="699">
        <f t="shared" si="6"/>
        <v>0</v>
      </c>
      <c r="S86" s="631"/>
      <c r="X86" s="7"/>
      <c r="Y86" s="7"/>
    </row>
    <row r="87" spans="3:25" s="211" customFormat="1" ht="18" customHeight="1">
      <c r="C87" s="211">
        <v>1</v>
      </c>
      <c r="D87" s="628" t="s">
        <v>633</v>
      </c>
      <c r="E87" s="703">
        <v>5301</v>
      </c>
      <c r="F87" s="629" t="s">
        <v>196</v>
      </c>
      <c r="G87" s="414">
        <v>1000</v>
      </c>
      <c r="H87" s="414"/>
      <c r="I87" s="414" t="s">
        <v>474</v>
      </c>
      <c r="J87" s="211">
        <f t="shared" si="7"/>
        <v>1292039719</v>
      </c>
      <c r="K87" s="414" t="s">
        <v>474</v>
      </c>
      <c r="L87" s="630">
        <f>-ROUND(SUMIF(T_BS!$F:$F,T198_TB!E87,T_BS!$W:$W),0)+SUMIF($T$5:$T$8,E87,$V$5:$V$8)</f>
        <v>1292039719</v>
      </c>
      <c r="N87" s="211" t="s">
        <v>547</v>
      </c>
      <c r="Q87" s="698">
        <v>1292039719</v>
      </c>
      <c r="R87" s="699">
        <f t="shared" si="6"/>
        <v>0</v>
      </c>
      <c r="S87" s="631"/>
      <c r="X87" s="7"/>
      <c r="Y87" s="7"/>
    </row>
    <row r="88" spans="3:25" s="211" customFormat="1" ht="18" customHeight="1">
      <c r="C88" s="211">
        <v>1</v>
      </c>
      <c r="D88" s="628" t="s">
        <v>633</v>
      </c>
      <c r="E88" s="703">
        <v>5304</v>
      </c>
      <c r="F88" s="629" t="s">
        <v>667</v>
      </c>
      <c r="G88" s="414">
        <v>1000</v>
      </c>
      <c r="H88" s="414"/>
      <c r="I88" s="414" t="s">
        <v>474</v>
      </c>
      <c r="J88" s="211">
        <f t="shared" si="7"/>
        <v>2736109088</v>
      </c>
      <c r="K88" s="414" t="s">
        <v>474</v>
      </c>
      <c r="L88" s="630">
        <f>-ROUND(SUMIF(T_BS!$F:$F,T198_TB!E88,T_BS!$W:$W),0)+SUMIF($T$5:$T$8,E88,$V$5:$V$8)</f>
        <v>2736109088</v>
      </c>
      <c r="N88" s="211" t="s">
        <v>547</v>
      </c>
      <c r="Q88" s="698">
        <v>2736109088</v>
      </c>
      <c r="R88" s="699">
        <f t="shared" si="6"/>
        <v>0</v>
      </c>
      <c r="S88" s="631"/>
      <c r="X88" s="7"/>
      <c r="Y88" s="7"/>
    </row>
    <row r="89" spans="3:25" s="211" customFormat="1" ht="18" customHeight="1">
      <c r="C89" s="211">
        <v>1</v>
      </c>
      <c r="D89" s="628" t="s">
        <v>633</v>
      </c>
      <c r="E89" s="703">
        <v>5307</v>
      </c>
      <c r="F89" s="629" t="s">
        <v>204</v>
      </c>
      <c r="G89" s="414">
        <v>1000</v>
      </c>
      <c r="H89" s="414"/>
      <c r="I89" s="414" t="s">
        <v>474</v>
      </c>
      <c r="J89" s="211">
        <f t="shared" si="7"/>
        <v>-2418521277</v>
      </c>
      <c r="K89" s="414" t="s">
        <v>474</v>
      </c>
      <c r="L89" s="630">
        <f>-ROUND(SUMIF(T_BS!$F:$F,T198_TB!E89,T_BS!$W:$W),0)+SUMIF($T$5:$T$8,E89,$V$5:$V$8)</f>
        <v>-2418521277</v>
      </c>
      <c r="N89" s="211" t="s">
        <v>547</v>
      </c>
      <c r="Q89" s="698">
        <v>-2051963668</v>
      </c>
      <c r="R89" s="699">
        <f t="shared" si="6"/>
        <v>366557609</v>
      </c>
      <c r="S89" s="631"/>
      <c r="X89" s="7"/>
      <c r="Y89" s="7"/>
    </row>
    <row r="90" spans="3:25" s="211" customFormat="1" ht="18" customHeight="1">
      <c r="C90" s="211">
        <v>1</v>
      </c>
      <c r="D90" s="628" t="s">
        <v>633</v>
      </c>
      <c r="E90" s="703">
        <v>5402</v>
      </c>
      <c r="F90" s="629" t="s">
        <v>402</v>
      </c>
      <c r="G90" s="414">
        <v>1000</v>
      </c>
      <c r="H90" s="414"/>
      <c r="I90" s="414" t="s">
        <v>474</v>
      </c>
      <c r="J90" s="211">
        <f t="shared" si="7"/>
        <v>87889806431</v>
      </c>
      <c r="K90" s="414" t="s">
        <v>474</v>
      </c>
      <c r="L90" s="630">
        <f>-ROUND(SUMIF(T_BS!$F:$F,T198_TB!E90,T_BS!$W:$W),0)+SUMIF($T$5:$T$8,E90,$V$5:$V$8)</f>
        <v>87889806431</v>
      </c>
      <c r="N90" s="211" t="s">
        <v>547</v>
      </c>
      <c r="Q90" s="698">
        <v>39524878621</v>
      </c>
      <c r="R90" s="699">
        <f t="shared" si="6"/>
        <v>-48364927810</v>
      </c>
      <c r="S90" s="631"/>
      <c r="X90" s="7"/>
      <c r="Y90" s="7"/>
    </row>
    <row r="91" spans="3:25" s="211" customFormat="1" ht="18" customHeight="1">
      <c r="C91" s="211">
        <v>1</v>
      </c>
      <c r="D91" s="628" t="s">
        <v>633</v>
      </c>
      <c r="E91" s="703">
        <v>5302</v>
      </c>
      <c r="F91" s="629" t="s">
        <v>1648</v>
      </c>
      <c r="G91" s="414">
        <v>1000</v>
      </c>
      <c r="H91" s="414"/>
      <c r="I91" s="414" t="s">
        <v>474</v>
      </c>
      <c r="J91" s="211">
        <f t="shared" si="7"/>
        <v>-1298943576</v>
      </c>
      <c r="K91" s="414" t="s">
        <v>474</v>
      </c>
      <c r="L91" s="630">
        <f>-ROUND(SUMIF(T_BS!$F:$F,T198_TB!E91,T_BS!$W:$W),0)+SUMIF($T$5:$T$8,E91,$V$5:$V$8)</f>
        <v>-1298943576</v>
      </c>
      <c r="N91" s="211" t="s">
        <v>547</v>
      </c>
      <c r="Q91" s="698">
        <v>-412085862</v>
      </c>
      <c r="R91" s="699">
        <f t="shared" si="6"/>
        <v>886857714</v>
      </c>
      <c r="S91" s="631"/>
      <c r="X91" s="7"/>
      <c r="Y91" s="7"/>
    </row>
    <row r="92" spans="3:25" s="211" customFormat="1" ht="18" customHeight="1">
      <c r="C92" s="211">
        <v>1</v>
      </c>
      <c r="D92" s="628" t="s">
        <v>633</v>
      </c>
      <c r="E92" s="703">
        <v>5401</v>
      </c>
      <c r="F92" s="629" t="s">
        <v>528</v>
      </c>
      <c r="G92" s="414">
        <v>1000</v>
      </c>
      <c r="H92" s="414"/>
      <c r="I92" s="414" t="s">
        <v>474</v>
      </c>
      <c r="J92" s="211">
        <f t="shared" si="7"/>
        <v>279145066</v>
      </c>
      <c r="K92" s="414" t="s">
        <v>474</v>
      </c>
      <c r="L92" s="630">
        <f>-ROUND(SUMIF(T_BS!$F:$F,T198_TB!E92,T_BS!$W:$W),0)+SUMIF($T$5:$T$8,E92,$V$5:$V$8)</f>
        <v>279145066</v>
      </c>
      <c r="N92" s="211" t="s">
        <v>547</v>
      </c>
      <c r="Q92" s="698">
        <v>240559000</v>
      </c>
      <c r="R92" s="699">
        <f t="shared" si="6"/>
        <v>-38586066</v>
      </c>
      <c r="S92" s="631"/>
      <c r="X92" s="7"/>
      <c r="Y92" s="7"/>
    </row>
    <row r="93" spans="3:25" s="211" customFormat="1" ht="18" customHeight="1">
      <c r="C93" s="211">
        <v>1</v>
      </c>
      <c r="D93" s="628" t="s">
        <v>633</v>
      </c>
      <c r="E93" s="703">
        <v>101</v>
      </c>
      <c r="F93" s="629" t="s">
        <v>668</v>
      </c>
      <c r="G93" s="414">
        <v>1000</v>
      </c>
      <c r="H93" s="414"/>
      <c r="I93" s="414" t="s">
        <v>474</v>
      </c>
      <c r="J93" s="211">
        <f t="shared" si="7"/>
        <v>-25726197587</v>
      </c>
      <c r="K93" s="414" t="s">
        <v>474</v>
      </c>
      <c r="L93" s="630">
        <f>-ROUND(SUMIF(T_IS!$F:$F,T198_TB!E93,T_IS!$W:$W),0)+SUMIF($T$5:$T$8,E93,$V$5:$V$8)</f>
        <v>-25726197587</v>
      </c>
      <c r="N93" s="211" t="s">
        <v>691</v>
      </c>
      <c r="Q93" s="698">
        <v>-22544382739</v>
      </c>
      <c r="R93" s="699">
        <f t="shared" si="6"/>
        <v>3181814848</v>
      </c>
      <c r="S93" s="631"/>
      <c r="X93" s="7"/>
      <c r="Y93" s="7"/>
    </row>
    <row r="94" spans="3:25" s="211" customFormat="1" ht="18" customHeight="1">
      <c r="C94" s="211">
        <v>1</v>
      </c>
      <c r="D94" s="628" t="s">
        <v>633</v>
      </c>
      <c r="E94" s="703">
        <v>102</v>
      </c>
      <c r="F94" s="629" t="s">
        <v>669</v>
      </c>
      <c r="G94" s="414">
        <v>1000</v>
      </c>
      <c r="H94" s="414"/>
      <c r="I94" s="414" t="s">
        <v>474</v>
      </c>
      <c r="J94" s="211">
        <f t="shared" si="7"/>
        <v>-5178408371</v>
      </c>
      <c r="K94" s="414" t="s">
        <v>474</v>
      </c>
      <c r="L94" s="630">
        <f>-ROUND(SUMIF(T_IS!$F:$F,T198_TB!E94,T_IS!$W:$W),0)+SUMIF($T$5:$T$8,E94,$V$5:$V$8)</f>
        <v>-5178408371</v>
      </c>
      <c r="N94" s="211" t="s">
        <v>691</v>
      </c>
      <c r="Q94" s="698">
        <v>-15916753842</v>
      </c>
      <c r="R94" s="699">
        <f t="shared" ref="R94:R113" si="8">Q94-L94</f>
        <v>-10738345471</v>
      </c>
      <c r="S94" s="631"/>
      <c r="X94" s="7"/>
      <c r="Y94" s="7"/>
    </row>
    <row r="95" spans="3:25" s="211" customFormat="1" ht="18" customHeight="1">
      <c r="C95" s="211">
        <v>1</v>
      </c>
      <c r="D95" s="628" t="s">
        <v>633</v>
      </c>
      <c r="E95" s="703">
        <v>105</v>
      </c>
      <c r="F95" s="629" t="s">
        <v>670</v>
      </c>
      <c r="G95" s="414">
        <v>1000</v>
      </c>
      <c r="H95" s="414"/>
      <c r="I95" s="414" t="s">
        <v>474</v>
      </c>
      <c r="J95" s="211">
        <f t="shared" si="7"/>
        <v>-5940662164</v>
      </c>
      <c r="K95" s="414" t="s">
        <v>474</v>
      </c>
      <c r="L95" s="630">
        <f>-ROUND(SUMIF(T_IS!$F:$F,T198_TB!E95,T_IS!$W:$W),0)+SUMIF($T$5:$T$8,E95,$V$5:$V$8)</f>
        <v>-5940662164</v>
      </c>
      <c r="N95" s="211" t="s">
        <v>691</v>
      </c>
      <c r="Q95" s="698">
        <v>-20604950601</v>
      </c>
      <c r="R95" s="699">
        <f t="shared" si="8"/>
        <v>-14664288437</v>
      </c>
      <c r="S95" s="631"/>
      <c r="X95" s="7"/>
      <c r="Y95" s="7"/>
    </row>
    <row r="96" spans="3:25" s="211" customFormat="1" ht="18" customHeight="1">
      <c r="C96" s="211">
        <v>1</v>
      </c>
      <c r="D96" s="628" t="s">
        <v>633</v>
      </c>
      <c r="E96" s="703">
        <v>106</v>
      </c>
      <c r="F96" s="629" t="s">
        <v>671</v>
      </c>
      <c r="G96" s="414">
        <v>1000</v>
      </c>
      <c r="H96" s="414"/>
      <c r="I96" s="414" t="s">
        <v>474</v>
      </c>
      <c r="J96" s="211">
        <f t="shared" si="7"/>
        <v>-15282195604</v>
      </c>
      <c r="K96" s="414" t="s">
        <v>474</v>
      </c>
      <c r="L96" s="630">
        <f>-ROUND(SUMIF(T_IS!$F:$F,T198_TB!E96,T_IS!$W:$W),0)+SUMIF($T$5:$T$8,E96,$V$5:$V$8)</f>
        <v>-15282195604</v>
      </c>
      <c r="N96" s="211" t="s">
        <v>691</v>
      </c>
      <c r="Q96" s="698">
        <v>-17517695878</v>
      </c>
      <c r="R96" s="699">
        <f t="shared" si="8"/>
        <v>-2235500274</v>
      </c>
      <c r="S96" s="631"/>
      <c r="X96" s="7"/>
      <c r="Y96" s="7"/>
    </row>
    <row r="97" spans="3:25" s="211" customFormat="1" ht="18" customHeight="1">
      <c r="C97" s="211">
        <v>1</v>
      </c>
      <c r="D97" s="628" t="s">
        <v>633</v>
      </c>
      <c r="E97" s="703">
        <v>103</v>
      </c>
      <c r="F97" s="629" t="s">
        <v>237</v>
      </c>
      <c r="G97" s="414">
        <v>1000</v>
      </c>
      <c r="H97" s="414"/>
      <c r="I97" s="414" t="s">
        <v>474</v>
      </c>
      <c r="J97" s="211">
        <f t="shared" si="7"/>
        <v>-174201608497</v>
      </c>
      <c r="K97" s="414" t="s">
        <v>474</v>
      </c>
      <c r="L97" s="630">
        <f>-ROUND(SUMIF(T_IS!$F:$F,T198_TB!E97,T_IS!$W:$W),0)+SUMIF($T$5:$T$8,E97,$V$5:$V$8)</f>
        <v>-174201608497</v>
      </c>
      <c r="N97" s="211" t="s">
        <v>691</v>
      </c>
      <c r="Q97" s="698">
        <v>-120227949145</v>
      </c>
      <c r="R97" s="699">
        <f t="shared" si="8"/>
        <v>53973659352</v>
      </c>
      <c r="S97" s="631"/>
      <c r="X97" s="7"/>
      <c r="Y97" s="7"/>
    </row>
    <row r="98" spans="3:25" s="211" customFormat="1" ht="18" customHeight="1">
      <c r="C98" s="211">
        <v>1</v>
      </c>
      <c r="D98" s="628" t="s">
        <v>633</v>
      </c>
      <c r="E98" s="703">
        <v>201</v>
      </c>
      <c r="F98" s="629" t="s">
        <v>240</v>
      </c>
      <c r="G98" s="414">
        <v>1000</v>
      </c>
      <c r="H98" s="414"/>
      <c r="I98" s="414" t="s">
        <v>474</v>
      </c>
      <c r="J98" s="211">
        <f t="shared" si="7"/>
        <v>26833967325</v>
      </c>
      <c r="K98" s="414" t="s">
        <v>474</v>
      </c>
      <c r="L98" s="630">
        <f>ROUND(SUMIF(T_IS!$F:$F,T198_TB!E98,T_IS!$W:$W),0)+SUMIF($T$5:$T$8,E98,$V$5:$V$8)</f>
        <v>26833967325</v>
      </c>
      <c r="N98" s="211" t="s">
        <v>692</v>
      </c>
      <c r="Q98" s="698">
        <v>38447879691</v>
      </c>
      <c r="R98" s="699">
        <f t="shared" si="8"/>
        <v>11613912366</v>
      </c>
      <c r="S98" s="631"/>
      <c r="X98" s="7"/>
      <c r="Y98" s="7"/>
    </row>
    <row r="99" spans="3:25" s="211" customFormat="1" ht="18" customHeight="1">
      <c r="C99" s="211">
        <v>1</v>
      </c>
      <c r="D99" s="628" t="s">
        <v>633</v>
      </c>
      <c r="E99" s="703">
        <v>202</v>
      </c>
      <c r="F99" s="629" t="s">
        <v>242</v>
      </c>
      <c r="G99" s="414">
        <v>1000</v>
      </c>
      <c r="H99" s="414"/>
      <c r="I99" s="414" t="s">
        <v>474</v>
      </c>
      <c r="J99" s="211">
        <f t="shared" si="7"/>
        <v>13476781012</v>
      </c>
      <c r="K99" s="414" t="s">
        <v>474</v>
      </c>
      <c r="L99" s="630">
        <f>ROUND(SUMIF(T_IS!$F:$F,T198_TB!E99,T_IS!$W:$W),0)+SUMIF($T$5:$T$8,E99,$V$5:$V$8)</f>
        <v>13476781012</v>
      </c>
      <c r="N99" s="211" t="s">
        <v>692</v>
      </c>
      <c r="Q99" s="698">
        <v>28620091824</v>
      </c>
      <c r="R99" s="699">
        <f t="shared" si="8"/>
        <v>15143310812</v>
      </c>
      <c r="S99" s="631"/>
      <c r="X99" s="7"/>
      <c r="Y99" s="7"/>
    </row>
    <row r="100" spans="3:25" s="211" customFormat="1" ht="18" customHeight="1">
      <c r="C100" s="211">
        <v>1</v>
      </c>
      <c r="D100" s="628" t="s">
        <v>633</v>
      </c>
      <c r="E100" s="703">
        <v>204</v>
      </c>
      <c r="F100" s="629" t="s">
        <v>256</v>
      </c>
      <c r="G100" s="414">
        <v>1000</v>
      </c>
      <c r="H100" s="414"/>
      <c r="I100" s="414" t="s">
        <v>474</v>
      </c>
      <c r="J100" s="211">
        <f t="shared" si="7"/>
        <v>140894638990</v>
      </c>
      <c r="K100" s="414" t="s">
        <v>474</v>
      </c>
      <c r="L100" s="630">
        <f>ROUND(SUMIF(T_IS!$F:$F,T198_TB!E100,T_IS!$W:$W),0)+SUMIF($T$5:$T$8,E100,$V$5:$V$8)</f>
        <v>140894638990</v>
      </c>
      <c r="N100" s="211" t="s">
        <v>692</v>
      </c>
      <c r="Q100" s="698">
        <v>99235160202</v>
      </c>
      <c r="R100" s="699">
        <f t="shared" si="8"/>
        <v>-41659478788</v>
      </c>
      <c r="S100" s="631"/>
      <c r="X100" s="7"/>
      <c r="Y100" s="7"/>
    </row>
    <row r="101" spans="3:25" s="211" customFormat="1" ht="18" customHeight="1">
      <c r="C101" s="211">
        <v>1</v>
      </c>
      <c r="D101" s="628" t="s">
        <v>633</v>
      </c>
      <c r="E101" s="703">
        <v>301</v>
      </c>
      <c r="F101" s="629" t="s">
        <v>260</v>
      </c>
      <c r="G101" s="414">
        <v>1000</v>
      </c>
      <c r="H101" s="414"/>
      <c r="I101" s="414" t="s">
        <v>474</v>
      </c>
      <c r="J101" s="211">
        <f t="shared" si="7"/>
        <v>15962194642</v>
      </c>
      <c r="K101" s="414" t="s">
        <v>474</v>
      </c>
      <c r="L101" s="630">
        <f>ROUND(SUMIF(T_IS!$F:$F,T198_TB!E101,T_IS!$W:$W),0)+SUMIF($T$5:$T$8,E101,$V$5:$V$8)</f>
        <v>15962194642</v>
      </c>
      <c r="N101" s="211" t="s">
        <v>692</v>
      </c>
      <c r="Q101" s="698">
        <v>13873735120</v>
      </c>
      <c r="R101" s="699">
        <f t="shared" si="8"/>
        <v>-2088459522</v>
      </c>
      <c r="S101" s="631"/>
      <c r="X101" s="7"/>
      <c r="Y101" s="7"/>
    </row>
    <row r="102" spans="3:25" s="211" customFormat="1" ht="18" customHeight="1">
      <c r="C102" s="211">
        <v>1</v>
      </c>
      <c r="D102" s="628" t="s">
        <v>633</v>
      </c>
      <c r="E102" s="703">
        <v>302</v>
      </c>
      <c r="F102" s="629" t="s">
        <v>2271</v>
      </c>
      <c r="G102" s="414">
        <v>1000</v>
      </c>
      <c r="H102" s="414"/>
      <c r="I102" s="414" t="s">
        <v>474</v>
      </c>
      <c r="J102" s="211">
        <f t="shared" si="7"/>
        <v>1716897804</v>
      </c>
      <c r="K102" s="414" t="s">
        <v>474</v>
      </c>
      <c r="L102" s="630">
        <f>ROUND(SUMIF(T_IS!$F:$F,T198_TB!E102,T_IS!$W:$W),0)+SUMIF($T$5:$T$8,E102,$V$5:$V$8)</f>
        <v>1716897804</v>
      </c>
      <c r="N102" s="211" t="s">
        <v>692</v>
      </c>
      <c r="Q102" s="698">
        <v>1094304358</v>
      </c>
      <c r="R102" s="699">
        <f t="shared" si="8"/>
        <v>-622593446</v>
      </c>
      <c r="S102" s="631"/>
      <c r="X102" s="7"/>
      <c r="Y102" s="7"/>
    </row>
    <row r="103" spans="3:25" s="211" customFormat="1" ht="18" customHeight="1">
      <c r="C103" s="211">
        <v>1</v>
      </c>
      <c r="D103" s="628" t="s">
        <v>633</v>
      </c>
      <c r="E103" s="703">
        <v>304</v>
      </c>
      <c r="F103" s="629" t="s">
        <v>2272</v>
      </c>
      <c r="G103" s="414">
        <v>1000</v>
      </c>
      <c r="H103" s="414"/>
      <c r="I103" s="414" t="s">
        <v>474</v>
      </c>
      <c r="J103" s="211">
        <f t="shared" si="7"/>
        <v>3367428459</v>
      </c>
      <c r="K103" s="414" t="s">
        <v>474</v>
      </c>
      <c r="L103" s="630">
        <f>ROUND(SUMIF(T_IS!$F:$F,T198_TB!E103,T_IS!$W:$W),0)+SUMIF($T$5:$T$8,E103,$V$5:$V$8)</f>
        <v>3367428459</v>
      </c>
      <c r="N103" s="211" t="s">
        <v>692</v>
      </c>
      <c r="Q103" s="698">
        <v>2695798840</v>
      </c>
      <c r="R103" s="699">
        <f t="shared" si="8"/>
        <v>-671629619</v>
      </c>
      <c r="S103" s="631"/>
      <c r="X103" s="7"/>
      <c r="Y103" s="7"/>
    </row>
    <row r="104" spans="3:25" s="211" customFormat="1" ht="18" customHeight="1">
      <c r="C104" s="211">
        <v>1</v>
      </c>
      <c r="D104" s="628" t="s">
        <v>633</v>
      </c>
      <c r="E104" s="703">
        <v>305</v>
      </c>
      <c r="F104" s="629" t="s">
        <v>2273</v>
      </c>
      <c r="G104" s="414">
        <v>1000</v>
      </c>
      <c r="H104" s="414"/>
      <c r="I104" s="414" t="s">
        <v>474</v>
      </c>
      <c r="J104" s="211">
        <f t="shared" si="7"/>
        <v>160800898</v>
      </c>
      <c r="K104" s="414" t="s">
        <v>474</v>
      </c>
      <c r="L104" s="630">
        <f>ROUND(SUMIF(T_IS!$F:$F,T198_TB!E104,T_IS!$W:$W),0)+SUMIF($T$5:$T$8,E104,$V$5:$V$8)</f>
        <v>160800898</v>
      </c>
      <c r="N104" s="211" t="s">
        <v>692</v>
      </c>
      <c r="Q104" s="698">
        <v>421261767</v>
      </c>
      <c r="R104" s="699">
        <f t="shared" si="8"/>
        <v>260460869</v>
      </c>
      <c r="S104" s="631"/>
      <c r="X104" s="7"/>
      <c r="Y104" s="7"/>
    </row>
    <row r="105" spans="3:25" s="211" customFormat="1" ht="18" customHeight="1">
      <c r="C105" s="211">
        <v>1</v>
      </c>
      <c r="D105" s="628" t="s">
        <v>633</v>
      </c>
      <c r="E105" s="703">
        <v>307</v>
      </c>
      <c r="F105" s="629" t="s">
        <v>270</v>
      </c>
      <c r="G105" s="414">
        <v>1000</v>
      </c>
      <c r="H105" s="414"/>
      <c r="I105" s="414" t="s">
        <v>474</v>
      </c>
      <c r="J105" s="211">
        <f t="shared" si="7"/>
        <v>261944781</v>
      </c>
      <c r="K105" s="414" t="s">
        <v>474</v>
      </c>
      <c r="L105" s="630">
        <f>ROUND(SUMIF(T_IS!$F:$F,T198_TB!E105,T_IS!$W:$W),0)+SUMIF($T$5:$T$8,E105,$V$5:$V$8)</f>
        <v>261944781</v>
      </c>
      <c r="N105" s="211" t="s">
        <v>692</v>
      </c>
      <c r="Q105" s="698">
        <v>389003359</v>
      </c>
      <c r="R105" s="699">
        <f t="shared" si="8"/>
        <v>127058578</v>
      </c>
      <c r="S105" s="631"/>
      <c r="X105" s="7"/>
      <c r="Y105" s="7"/>
    </row>
    <row r="106" spans="3:25" s="211" customFormat="1" ht="18" customHeight="1">
      <c r="C106" s="211">
        <v>1</v>
      </c>
      <c r="D106" s="628" t="s">
        <v>633</v>
      </c>
      <c r="E106" s="703">
        <v>309</v>
      </c>
      <c r="F106" s="629" t="s">
        <v>2274</v>
      </c>
      <c r="G106" s="414">
        <v>1000</v>
      </c>
      <c r="H106" s="414"/>
      <c r="I106" s="414" t="s">
        <v>474</v>
      </c>
      <c r="J106" s="211">
        <f t="shared" si="7"/>
        <v>68952379</v>
      </c>
      <c r="K106" s="414" t="s">
        <v>474</v>
      </c>
      <c r="L106" s="630">
        <f>ROUND(SUMIF(T_IS!$F:$F,T198_TB!E106,T_IS!$W:$W),0)+SUMIF($T$5:$T$8,E106,$V$5:$V$8)</f>
        <v>68952379</v>
      </c>
      <c r="N106" s="211" t="s">
        <v>692</v>
      </c>
      <c r="Q106" s="698">
        <v>189335674</v>
      </c>
      <c r="R106" s="699">
        <f t="shared" si="8"/>
        <v>120383295</v>
      </c>
      <c r="S106" s="631"/>
      <c r="X106" s="7"/>
      <c r="Y106" s="7"/>
    </row>
    <row r="107" spans="3:25" s="211" customFormat="1" ht="18" customHeight="1">
      <c r="C107" s="211">
        <v>1</v>
      </c>
      <c r="D107" s="628" t="s">
        <v>633</v>
      </c>
      <c r="E107" s="703">
        <v>311</v>
      </c>
      <c r="F107" s="629" t="s">
        <v>276</v>
      </c>
      <c r="G107" s="414">
        <v>1000</v>
      </c>
      <c r="H107" s="414"/>
      <c r="I107" s="414" t="s">
        <v>474</v>
      </c>
      <c r="J107" s="211">
        <f>+L107</f>
        <v>280231919</v>
      </c>
      <c r="K107" s="414" t="s">
        <v>474</v>
      </c>
      <c r="L107" s="630">
        <f>ROUND(SUMIF(T_IS!$F:$F,T198_TB!E107,T_IS!$W:$W),0)+SUMIF($T$5:$T$8,E107,$V$5:$V$8)</f>
        <v>280231919</v>
      </c>
      <c r="N107" s="211" t="s">
        <v>692</v>
      </c>
      <c r="Q107" s="698">
        <v>529280047</v>
      </c>
      <c r="R107" s="699">
        <f t="shared" si="8"/>
        <v>249048128</v>
      </c>
      <c r="S107" s="631"/>
      <c r="X107" s="7"/>
      <c r="Y107" s="7"/>
    </row>
    <row r="108" spans="3:25" s="211" customFormat="1" ht="18" customHeight="1">
      <c r="C108" s="211">
        <v>1</v>
      </c>
      <c r="D108" s="628" t="s">
        <v>633</v>
      </c>
      <c r="E108" s="703">
        <v>31101</v>
      </c>
      <c r="F108" s="629" t="s">
        <v>2275</v>
      </c>
      <c r="G108" s="414">
        <v>1000</v>
      </c>
      <c r="H108" s="414"/>
      <c r="I108" s="414" t="s">
        <v>474</v>
      </c>
      <c r="J108" s="211">
        <f>+L108</f>
        <v>70594266</v>
      </c>
      <c r="K108" s="414" t="s">
        <v>474</v>
      </c>
      <c r="L108" s="630">
        <f>ROUND(SUMIF(T_IS!$F:$F,T198_TB!E108,T_IS!$W:$W),0)+SUMIF($T$5:$T$8,E108,$V$5:$V$8)</f>
        <v>70594266</v>
      </c>
      <c r="N108" s="211" t="s">
        <v>692</v>
      </c>
      <c r="Q108" s="698">
        <v>140749741</v>
      </c>
      <c r="R108" s="699">
        <f t="shared" si="8"/>
        <v>70155475</v>
      </c>
      <c r="S108" s="631"/>
      <c r="X108" s="7"/>
      <c r="Y108" s="7"/>
    </row>
    <row r="109" spans="3:25" s="211" customFormat="1" ht="18" customHeight="1">
      <c r="C109" s="211">
        <v>1</v>
      </c>
      <c r="D109" s="628" t="s">
        <v>633</v>
      </c>
      <c r="E109" s="703">
        <v>31102</v>
      </c>
      <c r="F109" s="629" t="s">
        <v>2276</v>
      </c>
      <c r="G109" s="414">
        <v>1000</v>
      </c>
      <c r="H109" s="414"/>
      <c r="I109" s="414" t="s">
        <v>474</v>
      </c>
      <c r="J109" s="211">
        <f>+L109</f>
        <v>37959092</v>
      </c>
      <c r="K109" s="414" t="s">
        <v>474</v>
      </c>
      <c r="L109" s="630">
        <f>ROUND(SUMIF(T_IS!$F:$F,T198_TB!E109,T_IS!$W:$W),0)+SUMIF($T$5:$T$8,E109,$V$5:$V$8)</f>
        <v>37959092</v>
      </c>
      <c r="N109" s="211" t="s">
        <v>692</v>
      </c>
      <c r="Q109" s="698">
        <v>65521161</v>
      </c>
      <c r="R109" s="699">
        <f t="shared" si="8"/>
        <v>27562069</v>
      </c>
      <c r="S109" s="631"/>
      <c r="X109" s="7"/>
      <c r="Y109" s="7"/>
    </row>
    <row r="110" spans="3:25" s="211" customFormat="1" ht="18" customHeight="1">
      <c r="C110" s="211">
        <v>1</v>
      </c>
      <c r="D110" s="628" t="s">
        <v>633</v>
      </c>
      <c r="E110" s="703">
        <v>310</v>
      </c>
      <c r="F110" s="629" t="s">
        <v>672</v>
      </c>
      <c r="G110" s="414">
        <v>1000</v>
      </c>
      <c r="H110" s="414"/>
      <c r="I110" s="414" t="s">
        <v>474</v>
      </c>
      <c r="J110" s="211">
        <f>+L110</f>
        <v>474993733</v>
      </c>
      <c r="K110" s="414" t="s">
        <v>474</v>
      </c>
      <c r="L110" s="630">
        <f>ROUND(SUMIF(T_IS!$F:$F,T198_TB!E110,T_IS!$W:$W),0)+SUMIF($T$5:$T$8,E110,$V$5:$V$8)</f>
        <v>474993733</v>
      </c>
      <c r="N110" s="211" t="s">
        <v>692</v>
      </c>
      <c r="Q110" s="698">
        <v>458037605</v>
      </c>
      <c r="R110" s="699">
        <f t="shared" si="8"/>
        <v>-16956128</v>
      </c>
      <c r="S110" s="631"/>
      <c r="X110" s="7"/>
      <c r="Y110" s="7"/>
    </row>
    <row r="111" spans="3:25" s="211" customFormat="1" ht="18" customHeight="1">
      <c r="C111" s="211">
        <v>1</v>
      </c>
      <c r="D111" s="628" t="s">
        <v>633</v>
      </c>
      <c r="E111" s="703">
        <v>31001</v>
      </c>
      <c r="F111" s="629" t="s">
        <v>673</v>
      </c>
      <c r="G111" s="414">
        <v>1000</v>
      </c>
      <c r="H111" s="414"/>
      <c r="I111" s="414" t="s">
        <v>474</v>
      </c>
      <c r="J111" s="211">
        <f t="shared" si="7"/>
        <v>21094052</v>
      </c>
      <c r="K111" s="414" t="s">
        <v>474</v>
      </c>
      <c r="L111" s="630">
        <f>ROUND(SUMIF(T_IS!$F:$F,T198_TB!E111,T_IS!$W:$W),0)+SUMIF($T$5:$T$8,E111,$V$5:$V$8)</f>
        <v>21094052</v>
      </c>
      <c r="N111" s="211" t="s">
        <v>692</v>
      </c>
      <c r="Q111" s="698">
        <v>26602487</v>
      </c>
      <c r="R111" s="699">
        <f t="shared" si="8"/>
        <v>5508435</v>
      </c>
      <c r="S111" s="631"/>
      <c r="X111" s="7"/>
      <c r="Y111" s="7"/>
    </row>
    <row r="112" spans="3:25" s="211" customFormat="1" ht="18" customHeight="1">
      <c r="C112" s="211">
        <v>1</v>
      </c>
      <c r="D112" s="628" t="s">
        <v>633</v>
      </c>
      <c r="E112" s="703">
        <v>335</v>
      </c>
      <c r="F112" s="633" t="s">
        <v>1652</v>
      </c>
      <c r="G112" s="414">
        <v>1000</v>
      </c>
      <c r="H112" s="414"/>
      <c r="I112" s="414" t="s">
        <v>474</v>
      </c>
      <c r="J112" s="211">
        <f t="shared" si="7"/>
        <v>2293823046</v>
      </c>
      <c r="K112" s="414" t="s">
        <v>474</v>
      </c>
      <c r="L112" s="630">
        <f>ROUND(SUMIF(T_IS!$F:$F,T198_TB!E112,T_IS!$W:$W),0)+SUMIF($T$5:$T$8,E112,$V$5:$V$8)</f>
        <v>2293823046</v>
      </c>
      <c r="N112" s="211" t="s">
        <v>692</v>
      </c>
      <c r="Q112" s="698">
        <v>2466354065</v>
      </c>
      <c r="R112" s="699">
        <f t="shared" si="8"/>
        <v>172531019</v>
      </c>
      <c r="S112" s="631"/>
      <c r="X112" s="7"/>
      <c r="Y112" s="7"/>
    </row>
    <row r="113" spans="3:25" s="211" customFormat="1" ht="18" customHeight="1">
      <c r="C113" s="211">
        <v>1</v>
      </c>
      <c r="D113" s="628" t="s">
        <v>633</v>
      </c>
      <c r="E113" s="703">
        <v>334</v>
      </c>
      <c r="F113" s="632" t="s">
        <v>1653</v>
      </c>
      <c r="G113" s="414">
        <v>1000</v>
      </c>
      <c r="H113" s="414"/>
      <c r="I113" s="414" t="s">
        <v>474</v>
      </c>
      <c r="J113" s="211">
        <f t="shared" si="7"/>
        <v>38021107</v>
      </c>
      <c r="K113" s="414" t="s">
        <v>474</v>
      </c>
      <c r="L113" s="630">
        <f>ROUND(SUMIF(T_IS!$F:$F,T198_TB!E113,T_IS!$W:$W),0)+SUMIF($T$5:$T$8,E113,$V$5:$V$8)</f>
        <v>38021107</v>
      </c>
      <c r="N113" s="211" t="s">
        <v>692</v>
      </c>
      <c r="Q113" s="698">
        <v>42234663</v>
      </c>
      <c r="R113" s="699">
        <f t="shared" si="8"/>
        <v>4213556</v>
      </c>
      <c r="S113" s="631"/>
      <c r="X113" s="7"/>
      <c r="Y113" s="7"/>
    </row>
    <row r="114" spans="3:25" s="211" customFormat="1" ht="18" customHeight="1">
      <c r="C114" s="211">
        <v>1</v>
      </c>
      <c r="D114" s="628" t="s">
        <v>633</v>
      </c>
      <c r="E114" s="871">
        <v>336</v>
      </c>
      <c r="F114" s="318" t="s">
        <v>2262</v>
      </c>
      <c r="G114" s="414">
        <v>1000</v>
      </c>
      <c r="H114" s="414"/>
      <c r="I114" s="414" t="s">
        <v>474</v>
      </c>
      <c r="J114" s="211">
        <f t="shared" ref="J114" si="9">+L114</f>
        <v>4014718</v>
      </c>
      <c r="K114" s="414" t="s">
        <v>474</v>
      </c>
      <c r="L114" s="630">
        <f>ROUND(SUMIF(T_IS!$F:$F,T198_TB!E114,T_IS!$W:$W),0)+SUMIF($T$5:$T$8,E114,$V$5:$V$8)</f>
        <v>4014718</v>
      </c>
      <c r="N114" s="211" t="s">
        <v>692</v>
      </c>
      <c r="Q114" s="698"/>
      <c r="R114" s="699"/>
      <c r="S114" s="631"/>
      <c r="X114" s="7"/>
      <c r="Y114" s="7"/>
    </row>
    <row r="115" spans="3:25" s="211" customFormat="1" ht="18" customHeight="1">
      <c r="C115" s="211">
        <v>1</v>
      </c>
      <c r="D115" s="628" t="s">
        <v>633</v>
      </c>
      <c r="E115" s="703">
        <v>326</v>
      </c>
      <c r="F115" s="629" t="s">
        <v>386</v>
      </c>
      <c r="G115" s="414">
        <v>1000</v>
      </c>
      <c r="H115" s="414"/>
      <c r="I115" s="414" t="s">
        <v>474</v>
      </c>
      <c r="J115" s="211">
        <f t="shared" si="7"/>
        <v>6564079983</v>
      </c>
      <c r="K115" s="414" t="s">
        <v>474</v>
      </c>
      <c r="L115" s="630">
        <f>ROUND(SUMIF(T_IS!$F:$F,T198_TB!E115,T_IS!$W:$W),0)+SUMIF($T$5:$T$8,E115,$V$5:$V$8)</f>
        <v>6564079983</v>
      </c>
      <c r="N115" s="211" t="s">
        <v>692</v>
      </c>
      <c r="Q115" s="698">
        <v>7923879010</v>
      </c>
      <c r="R115" s="699">
        <f t="shared" ref="R115:R146" si="10">Q115-L115</f>
        <v>1359799027</v>
      </c>
      <c r="S115" s="631"/>
      <c r="X115" s="7"/>
      <c r="Y115" s="7"/>
    </row>
    <row r="116" spans="3:25" s="211" customFormat="1" ht="18" customHeight="1">
      <c r="C116" s="211">
        <v>1</v>
      </c>
      <c r="D116" s="628" t="s">
        <v>633</v>
      </c>
      <c r="E116" s="703">
        <v>312</v>
      </c>
      <c r="F116" s="629" t="s">
        <v>278</v>
      </c>
      <c r="G116" s="414">
        <v>1000</v>
      </c>
      <c r="H116" s="414"/>
      <c r="I116" s="414" t="s">
        <v>474</v>
      </c>
      <c r="J116" s="211">
        <f t="shared" si="7"/>
        <v>221476500</v>
      </c>
      <c r="K116" s="414" t="s">
        <v>474</v>
      </c>
      <c r="L116" s="630">
        <f>ROUND(SUMIF(T_IS!$F:$F,T198_TB!E116,T_IS!$W:$W),0)+SUMIF($T$5:$T$8,E116,$V$5:$V$8)</f>
        <v>221476500</v>
      </c>
      <c r="N116" s="211" t="s">
        <v>692</v>
      </c>
      <c r="Q116" s="698">
        <v>225814001</v>
      </c>
      <c r="R116" s="699">
        <f t="shared" si="10"/>
        <v>4337501</v>
      </c>
      <c r="S116" s="631"/>
      <c r="X116" s="7"/>
      <c r="Y116" s="7"/>
    </row>
    <row r="117" spans="3:25" s="211" customFormat="1" ht="18" customHeight="1">
      <c r="C117" s="211">
        <v>1</v>
      </c>
      <c r="D117" s="628" t="s">
        <v>633</v>
      </c>
      <c r="E117" s="703">
        <v>327</v>
      </c>
      <c r="F117" s="629" t="s">
        <v>306</v>
      </c>
      <c r="G117" s="414">
        <v>1000</v>
      </c>
      <c r="H117" s="414"/>
      <c r="I117" s="414" t="s">
        <v>474</v>
      </c>
      <c r="J117" s="211">
        <f t="shared" si="7"/>
        <v>245219711</v>
      </c>
      <c r="K117" s="414" t="s">
        <v>474</v>
      </c>
      <c r="L117" s="630">
        <f>ROUND(SUMIF(T_IS!$F:$F,T198_TB!E117,T_IS!$W:$W),0)+SUMIF($T$5:$T$8,E117,$V$5:$V$8)</f>
        <v>245219711</v>
      </c>
      <c r="N117" s="211" t="s">
        <v>692</v>
      </c>
      <c r="Q117" s="698">
        <v>264494645</v>
      </c>
      <c r="R117" s="699">
        <f t="shared" si="10"/>
        <v>19274934</v>
      </c>
      <c r="S117" s="631"/>
      <c r="X117" s="7"/>
      <c r="Y117" s="7"/>
    </row>
    <row r="118" spans="3:25" s="211" customFormat="1" ht="18" customHeight="1">
      <c r="C118" s="211">
        <v>1</v>
      </c>
      <c r="D118" s="628" t="s">
        <v>633</v>
      </c>
      <c r="E118" s="703">
        <v>313</v>
      </c>
      <c r="F118" s="629" t="s">
        <v>280</v>
      </c>
      <c r="G118" s="414">
        <v>1000</v>
      </c>
      <c r="H118" s="414"/>
      <c r="I118" s="414" t="s">
        <v>474</v>
      </c>
      <c r="J118" s="211">
        <f t="shared" si="7"/>
        <v>38076323</v>
      </c>
      <c r="K118" s="414" t="s">
        <v>474</v>
      </c>
      <c r="L118" s="630">
        <f>ROUND(SUMIF(T_IS!$F:$F,T198_TB!E118,T_IS!$W:$W),0)+SUMIF($T$5:$T$8,E118,$V$5:$V$8)</f>
        <v>38076323</v>
      </c>
      <c r="N118" s="211" t="s">
        <v>692</v>
      </c>
      <c r="Q118" s="698">
        <v>57394866</v>
      </c>
      <c r="R118" s="699">
        <f t="shared" si="10"/>
        <v>19318543</v>
      </c>
      <c r="S118" s="631"/>
      <c r="X118" s="7"/>
      <c r="Y118" s="7"/>
    </row>
    <row r="119" spans="3:25" s="211" customFormat="1" ht="18" customHeight="1">
      <c r="C119" s="211">
        <v>1</v>
      </c>
      <c r="D119" s="628" t="s">
        <v>633</v>
      </c>
      <c r="E119" s="703">
        <v>306</v>
      </c>
      <c r="F119" s="629" t="s">
        <v>268</v>
      </c>
      <c r="G119" s="414">
        <v>1000</v>
      </c>
      <c r="H119" s="414"/>
      <c r="I119" s="414" t="s">
        <v>474</v>
      </c>
      <c r="J119" s="211">
        <f t="shared" si="7"/>
        <v>74742706</v>
      </c>
      <c r="K119" s="414" t="s">
        <v>474</v>
      </c>
      <c r="L119" s="630">
        <f>ROUND(SUMIF(T_IS!$F:$F,T198_TB!E119,T_IS!$W:$W),0)+SUMIF($T$5:$T$8,E119,$V$5:$V$8)</f>
        <v>74742706</v>
      </c>
      <c r="N119" s="211" t="s">
        <v>692</v>
      </c>
      <c r="Q119" s="698">
        <v>143198194</v>
      </c>
      <c r="R119" s="699">
        <f t="shared" si="10"/>
        <v>68455488</v>
      </c>
      <c r="S119" s="631"/>
      <c r="X119" s="7"/>
      <c r="Y119" s="7"/>
    </row>
    <row r="120" spans="3:25" s="211" customFormat="1" ht="18" customHeight="1">
      <c r="C120" s="211">
        <v>1</v>
      </c>
      <c r="D120" s="628" t="s">
        <v>633</v>
      </c>
      <c r="E120" s="703">
        <v>322</v>
      </c>
      <c r="F120" s="629" t="s">
        <v>298</v>
      </c>
      <c r="G120" s="414">
        <v>1000</v>
      </c>
      <c r="H120" s="414"/>
      <c r="I120" s="414" t="s">
        <v>474</v>
      </c>
      <c r="J120" s="211">
        <f t="shared" si="7"/>
        <v>7507088261</v>
      </c>
      <c r="K120" s="414" t="s">
        <v>474</v>
      </c>
      <c r="L120" s="630">
        <f>ROUND(SUMIF(T_IS!$F:$F,T198_TB!E120,T_IS!$W:$W),0)+SUMIF($T$5:$T$8,E120,$V$5:$V$8)</f>
        <v>7507088261</v>
      </c>
      <c r="N120" s="211" t="s">
        <v>692</v>
      </c>
      <c r="Q120" s="698">
        <v>8205368974</v>
      </c>
      <c r="R120" s="699">
        <f t="shared" si="10"/>
        <v>698280713</v>
      </c>
      <c r="S120" s="631"/>
      <c r="X120" s="7"/>
      <c r="Y120" s="7"/>
    </row>
    <row r="121" spans="3:25" s="211" customFormat="1" ht="18" customHeight="1">
      <c r="C121" s="211">
        <v>1</v>
      </c>
      <c r="D121" s="628" t="s">
        <v>633</v>
      </c>
      <c r="E121" s="703">
        <v>308</v>
      </c>
      <c r="F121" s="629" t="s">
        <v>272</v>
      </c>
      <c r="G121" s="414">
        <v>1000</v>
      </c>
      <c r="H121" s="414"/>
      <c r="I121" s="414" t="s">
        <v>474</v>
      </c>
      <c r="J121" s="211">
        <f t="shared" si="7"/>
        <v>71626799</v>
      </c>
      <c r="K121" s="414" t="s">
        <v>474</v>
      </c>
      <c r="L121" s="630">
        <f>ROUND(SUMIF(T_IS!$F:$F,T198_TB!E121,T_IS!$W:$W),0)+SUMIF($T$5:$T$8,E121,$V$5:$V$8)</f>
        <v>71626799</v>
      </c>
      <c r="N121" s="211" t="s">
        <v>692</v>
      </c>
      <c r="Q121" s="698">
        <v>109399591</v>
      </c>
      <c r="R121" s="699">
        <f t="shared" si="10"/>
        <v>37772792</v>
      </c>
      <c r="S121" s="631"/>
      <c r="X121" s="7"/>
      <c r="Y121" s="7"/>
    </row>
    <row r="122" spans="3:25" s="211" customFormat="1" ht="18" customHeight="1">
      <c r="C122" s="211">
        <v>1</v>
      </c>
      <c r="D122" s="628" t="s">
        <v>633</v>
      </c>
      <c r="E122" s="703">
        <v>316</v>
      </c>
      <c r="F122" s="629" t="s">
        <v>286</v>
      </c>
      <c r="G122" s="414">
        <v>1000</v>
      </c>
      <c r="H122" s="414"/>
      <c r="I122" s="414" t="s">
        <v>474</v>
      </c>
      <c r="J122" s="211">
        <f t="shared" si="7"/>
        <v>269515934</v>
      </c>
      <c r="K122" s="414" t="s">
        <v>474</v>
      </c>
      <c r="L122" s="630">
        <f>ROUND(SUMIF(T_IS!$F:$F,T198_TB!E122,T_IS!$W:$W),0)+SUMIF($T$5:$T$8,E122,$V$5:$V$8)</f>
        <v>269515934</v>
      </c>
      <c r="N122" s="211" t="s">
        <v>692</v>
      </c>
      <c r="Q122" s="698">
        <v>379440665</v>
      </c>
      <c r="R122" s="699">
        <f t="shared" si="10"/>
        <v>109924731</v>
      </c>
      <c r="S122" s="631"/>
      <c r="X122" s="7"/>
      <c r="Y122" s="7"/>
    </row>
    <row r="123" spans="3:25" s="211" customFormat="1" ht="18" customHeight="1">
      <c r="C123" s="211">
        <v>1</v>
      </c>
      <c r="D123" s="628" t="s">
        <v>633</v>
      </c>
      <c r="E123" s="703">
        <v>317</v>
      </c>
      <c r="F123" s="629" t="s">
        <v>288</v>
      </c>
      <c r="G123" s="414">
        <v>1000</v>
      </c>
      <c r="H123" s="414"/>
      <c r="I123" s="414" t="s">
        <v>474</v>
      </c>
      <c r="J123" s="211">
        <f t="shared" si="7"/>
        <v>95049509</v>
      </c>
      <c r="K123" s="414" t="s">
        <v>474</v>
      </c>
      <c r="L123" s="630">
        <f>ROUND(SUMIF(T_IS!$F:$F,T198_TB!E123,T_IS!$W:$W),0)+SUMIF($T$5:$T$8,E123,$V$5:$V$8)</f>
        <v>95049509</v>
      </c>
      <c r="N123" s="211" t="s">
        <v>692</v>
      </c>
      <c r="Q123" s="698">
        <v>140154037</v>
      </c>
      <c r="R123" s="699">
        <f t="shared" si="10"/>
        <v>45104528</v>
      </c>
      <c r="S123" s="631"/>
      <c r="X123" s="7"/>
      <c r="Y123" s="7"/>
    </row>
    <row r="124" spans="3:25" s="211" customFormat="1" ht="18" customHeight="1">
      <c r="C124" s="211">
        <v>1</v>
      </c>
      <c r="D124" s="628" t="s">
        <v>633</v>
      </c>
      <c r="E124" s="703">
        <v>321</v>
      </c>
      <c r="F124" s="629" t="s">
        <v>296</v>
      </c>
      <c r="G124" s="414">
        <v>1000</v>
      </c>
      <c r="H124" s="414"/>
      <c r="I124" s="414" t="s">
        <v>474</v>
      </c>
      <c r="J124" s="211">
        <f t="shared" si="7"/>
        <v>12079400941</v>
      </c>
      <c r="K124" s="414" t="s">
        <v>474</v>
      </c>
      <c r="L124" s="630">
        <f>ROUND(SUMIF(T_IS!$F:$F,T198_TB!E124,T_IS!$W:$W),0)+SUMIF($T$5:$T$8,E124,$V$5:$V$8)</f>
        <v>12079400941</v>
      </c>
      <c r="N124" s="211" t="s">
        <v>692</v>
      </c>
      <c r="Q124" s="698">
        <v>12154364827</v>
      </c>
      <c r="R124" s="699">
        <f t="shared" si="10"/>
        <v>74963886</v>
      </c>
      <c r="S124" s="631"/>
      <c r="X124" s="7"/>
      <c r="Y124" s="7"/>
    </row>
    <row r="125" spans="3:25" s="211" customFormat="1" ht="18" customHeight="1">
      <c r="C125" s="211">
        <v>1</v>
      </c>
      <c r="D125" s="628" t="s">
        <v>633</v>
      </c>
      <c r="E125" s="703">
        <v>320</v>
      </c>
      <c r="F125" s="629" t="s">
        <v>294</v>
      </c>
      <c r="G125" s="414">
        <v>1000</v>
      </c>
      <c r="H125" s="414"/>
      <c r="I125" s="414" t="s">
        <v>474</v>
      </c>
      <c r="J125" s="211">
        <f t="shared" si="7"/>
        <v>102832023</v>
      </c>
      <c r="K125" s="414" t="s">
        <v>474</v>
      </c>
      <c r="L125" s="630">
        <f>ROUND(SUMIF(T_IS!$F:$F,T198_TB!E125,T_IS!$W:$W),0)+SUMIF($T$5:$T$8,E125,$V$5:$V$8)</f>
        <v>102832023</v>
      </c>
      <c r="N125" s="211" t="s">
        <v>692</v>
      </c>
      <c r="Q125" s="698">
        <v>147873747</v>
      </c>
      <c r="R125" s="699">
        <f t="shared" si="10"/>
        <v>45041724</v>
      </c>
      <c r="S125" s="631"/>
      <c r="X125" s="7"/>
      <c r="Y125" s="7"/>
    </row>
    <row r="126" spans="3:25" s="211" customFormat="1" ht="18" customHeight="1">
      <c r="C126" s="211">
        <v>1</v>
      </c>
      <c r="D126" s="628" t="s">
        <v>633</v>
      </c>
      <c r="E126" s="703">
        <v>319</v>
      </c>
      <c r="F126" s="629" t="s">
        <v>292</v>
      </c>
      <c r="G126" s="414">
        <v>1000</v>
      </c>
      <c r="H126" s="414"/>
      <c r="I126" s="414" t="s">
        <v>474</v>
      </c>
      <c r="J126" s="211">
        <f t="shared" si="7"/>
        <v>11041081</v>
      </c>
      <c r="K126" s="414" t="s">
        <v>474</v>
      </c>
      <c r="L126" s="630">
        <f>ROUND(SUMIF(T_IS!$F:$F,T198_TB!E126,T_IS!$W:$W),0)+SUMIF($T$5:$T$8,E126,$V$5:$V$8)</f>
        <v>11041081</v>
      </c>
      <c r="N126" s="211" t="s">
        <v>692</v>
      </c>
      <c r="Q126" s="698">
        <v>12400705</v>
      </c>
      <c r="R126" s="699">
        <f t="shared" si="10"/>
        <v>1359624</v>
      </c>
      <c r="S126" s="631"/>
      <c r="X126" s="7"/>
      <c r="Y126" s="7"/>
    </row>
    <row r="127" spans="3:25" s="211" customFormat="1" ht="18" customHeight="1">
      <c r="C127" s="211">
        <v>1</v>
      </c>
      <c r="D127" s="628" t="s">
        <v>633</v>
      </c>
      <c r="E127" s="703">
        <v>318</v>
      </c>
      <c r="F127" s="629" t="s">
        <v>290</v>
      </c>
      <c r="G127" s="414">
        <v>1000</v>
      </c>
      <c r="H127" s="414"/>
      <c r="I127" s="414" t="s">
        <v>474</v>
      </c>
      <c r="J127" s="211">
        <f t="shared" si="7"/>
        <v>49223609</v>
      </c>
      <c r="K127" s="414" t="s">
        <v>474</v>
      </c>
      <c r="L127" s="630">
        <f>ROUND(SUMIF(T_IS!$F:$F,T198_TB!E127,T_IS!$W:$W),0)+SUMIF($T$5:$T$8,E127,$V$5:$V$8)</f>
        <v>49223609</v>
      </c>
      <c r="N127" s="211" t="s">
        <v>692</v>
      </c>
      <c r="Q127" s="698">
        <v>51698236</v>
      </c>
      <c r="R127" s="699">
        <f t="shared" si="10"/>
        <v>2474627</v>
      </c>
      <c r="S127" s="631"/>
      <c r="X127" s="7"/>
      <c r="Y127" s="7"/>
    </row>
    <row r="128" spans="3:25" s="211" customFormat="1" ht="18" customHeight="1">
      <c r="C128" s="211">
        <v>1</v>
      </c>
      <c r="D128" s="628" t="s">
        <v>633</v>
      </c>
      <c r="E128" s="703">
        <v>314</v>
      </c>
      <c r="F128" s="629" t="s">
        <v>282</v>
      </c>
      <c r="G128" s="414">
        <v>1000</v>
      </c>
      <c r="H128" s="414"/>
      <c r="I128" s="414" t="s">
        <v>474</v>
      </c>
      <c r="J128" s="211">
        <f t="shared" si="7"/>
        <v>32664446</v>
      </c>
      <c r="K128" s="414" t="s">
        <v>474</v>
      </c>
      <c r="L128" s="630">
        <f>ROUND(SUMIF(T_IS!$F:$F,T198_TB!E128,T_IS!$W:$W),0)+SUMIF($T$5:$T$8,E128,$V$5:$V$8)</f>
        <v>32664446</v>
      </c>
      <c r="N128" s="211" t="s">
        <v>692</v>
      </c>
      <c r="Q128" s="698">
        <v>62439025</v>
      </c>
      <c r="R128" s="699">
        <f t="shared" si="10"/>
        <v>29774579</v>
      </c>
      <c r="S128" s="631"/>
      <c r="X128" s="7"/>
      <c r="Y128" s="7"/>
    </row>
    <row r="129" spans="3:25" s="211" customFormat="1" ht="18" customHeight="1">
      <c r="C129" s="211">
        <v>1</v>
      </c>
      <c r="D129" s="628" t="s">
        <v>633</v>
      </c>
      <c r="E129" s="703">
        <v>324</v>
      </c>
      <c r="F129" s="629" t="s">
        <v>302</v>
      </c>
      <c r="G129" s="414">
        <v>1000</v>
      </c>
      <c r="H129" s="414"/>
      <c r="I129" s="414" t="s">
        <v>474</v>
      </c>
      <c r="J129" s="211">
        <f t="shared" si="7"/>
        <v>-28983221</v>
      </c>
      <c r="K129" s="414" t="s">
        <v>474</v>
      </c>
      <c r="L129" s="630">
        <f>ROUND(SUMIF(T_IS!$F:$F,T198_TB!E129,T_IS!$W:$W),0)+SUMIF($T$5:$T$8,E129,$V$5:$V$8)</f>
        <v>-28983221</v>
      </c>
      <c r="N129" s="211" t="s">
        <v>692</v>
      </c>
      <c r="Q129" s="698">
        <v>370148656</v>
      </c>
      <c r="R129" s="699">
        <f t="shared" si="10"/>
        <v>399131877</v>
      </c>
      <c r="S129" s="631"/>
      <c r="X129" s="7"/>
      <c r="Y129" s="7"/>
    </row>
    <row r="130" spans="3:25" s="211" customFormat="1" ht="18" customHeight="1">
      <c r="C130" s="211">
        <v>1</v>
      </c>
      <c r="D130" s="628" t="s">
        <v>633</v>
      </c>
      <c r="E130" s="703">
        <v>315</v>
      </c>
      <c r="F130" s="629" t="s">
        <v>284</v>
      </c>
      <c r="G130" s="414">
        <v>1000</v>
      </c>
      <c r="H130" s="414"/>
      <c r="I130" s="414" t="s">
        <v>474</v>
      </c>
      <c r="J130" s="211">
        <f t="shared" si="7"/>
        <v>2152821079</v>
      </c>
      <c r="K130" s="414" t="s">
        <v>474</v>
      </c>
      <c r="L130" s="630">
        <f>ROUND(SUMIF(T_IS!$F:$F,T198_TB!E130,T_IS!$W:$W),0)+SUMIF($T$5:$T$8,E130,$V$5:$V$8)</f>
        <v>2152821079</v>
      </c>
      <c r="N130" s="211" t="s">
        <v>692</v>
      </c>
      <c r="Q130" s="698">
        <v>2368608435</v>
      </c>
      <c r="R130" s="699">
        <f t="shared" si="10"/>
        <v>215787356</v>
      </c>
      <c r="S130" s="631"/>
      <c r="X130" s="7"/>
      <c r="Y130" s="7"/>
    </row>
    <row r="131" spans="3:25" s="211" customFormat="1" ht="18" customHeight="1">
      <c r="C131" s="211">
        <v>1</v>
      </c>
      <c r="D131" s="628" t="s">
        <v>633</v>
      </c>
      <c r="E131" s="703">
        <v>323</v>
      </c>
      <c r="F131" s="629" t="s">
        <v>300</v>
      </c>
      <c r="G131" s="414">
        <v>1000</v>
      </c>
      <c r="H131" s="414"/>
      <c r="I131" s="414" t="s">
        <v>474</v>
      </c>
      <c r="J131" s="211">
        <f t="shared" si="7"/>
        <v>165746244</v>
      </c>
      <c r="K131" s="414" t="s">
        <v>474</v>
      </c>
      <c r="L131" s="630">
        <f>ROUND(SUMIF(T_IS!$F:$F,T198_TB!E131,T_IS!$W:$W),0)+SUMIF($T$5:$T$8,E131,$V$5:$V$8)</f>
        <v>165746244</v>
      </c>
      <c r="N131" s="211" t="s">
        <v>692</v>
      </c>
      <c r="Q131" s="698">
        <v>280879092</v>
      </c>
      <c r="R131" s="699">
        <f t="shared" si="10"/>
        <v>115132848</v>
      </c>
      <c r="S131" s="631"/>
      <c r="X131" s="7"/>
      <c r="Y131" s="7"/>
    </row>
    <row r="132" spans="3:25" s="211" customFormat="1" ht="18" customHeight="1">
      <c r="C132" s="211">
        <v>1</v>
      </c>
      <c r="D132" s="628" t="s">
        <v>633</v>
      </c>
      <c r="E132" s="703">
        <v>325</v>
      </c>
      <c r="F132" s="629" t="s">
        <v>304</v>
      </c>
      <c r="G132" s="414">
        <v>1000</v>
      </c>
      <c r="H132" s="414"/>
      <c r="I132" s="414" t="s">
        <v>474</v>
      </c>
      <c r="J132" s="211">
        <f t="shared" si="7"/>
        <v>211007300</v>
      </c>
      <c r="K132" s="414" t="s">
        <v>474</v>
      </c>
      <c r="L132" s="630">
        <f>ROUND(SUMIF(T_IS!$F:$F,T198_TB!E132,T_IS!$W:$W),0)+SUMIF($T$5:$T$8,E132,$V$5:$V$8)</f>
        <v>211007300</v>
      </c>
      <c r="N132" s="211" t="s">
        <v>692</v>
      </c>
      <c r="Q132" s="698">
        <v>334240820</v>
      </c>
      <c r="R132" s="699">
        <f t="shared" si="10"/>
        <v>123233520</v>
      </c>
      <c r="S132" s="631"/>
      <c r="X132" s="7"/>
      <c r="Y132" s="7"/>
    </row>
    <row r="133" spans="3:25" s="211" customFormat="1" ht="18" customHeight="1">
      <c r="C133" s="211">
        <v>1</v>
      </c>
      <c r="D133" s="628" t="s">
        <v>633</v>
      </c>
      <c r="E133" s="703">
        <v>328</v>
      </c>
      <c r="F133" s="629" t="s">
        <v>308</v>
      </c>
      <c r="G133" s="414">
        <v>1000</v>
      </c>
      <c r="H133" s="414"/>
      <c r="I133" s="414" t="s">
        <v>474</v>
      </c>
      <c r="J133" s="211">
        <f t="shared" si="7"/>
        <v>560183581</v>
      </c>
      <c r="K133" s="414" t="s">
        <v>474</v>
      </c>
      <c r="L133" s="630">
        <f>ROUND(SUMIF(T_IS!$F:$F,T198_TB!E133,T_IS!$W:$W),0)+SUMIF($T$5:$T$8,E133,$V$5:$V$8)</f>
        <v>560183581</v>
      </c>
      <c r="N133" s="211" t="s">
        <v>692</v>
      </c>
      <c r="Q133" s="698">
        <v>433156275</v>
      </c>
      <c r="R133" s="699">
        <f t="shared" si="10"/>
        <v>-127027306</v>
      </c>
      <c r="S133" s="631"/>
      <c r="X133" s="7"/>
      <c r="Y133" s="7"/>
    </row>
    <row r="134" spans="3:25" s="211" customFormat="1" ht="18" customHeight="1">
      <c r="C134" s="211">
        <v>1</v>
      </c>
      <c r="D134" s="628" t="s">
        <v>633</v>
      </c>
      <c r="E134" s="703">
        <v>331</v>
      </c>
      <c r="F134" s="629" t="s">
        <v>310</v>
      </c>
      <c r="G134" s="414">
        <v>1000</v>
      </c>
      <c r="H134" s="414"/>
      <c r="I134" s="414" t="s">
        <v>474</v>
      </c>
      <c r="J134" s="211">
        <f t="shared" si="7"/>
        <v>15816486</v>
      </c>
      <c r="K134" s="414" t="s">
        <v>474</v>
      </c>
      <c r="L134" s="630">
        <f>ROUND(SUMIF(T_IS!$F:$F,T198_TB!E134,T_IS!$W:$W),0)+SUMIF($T$5:$T$8,E134,$V$5:$V$8)</f>
        <v>15816486</v>
      </c>
      <c r="N134" s="211" t="s">
        <v>692</v>
      </c>
      <c r="Q134" s="698">
        <v>3259565</v>
      </c>
      <c r="R134" s="699">
        <f t="shared" si="10"/>
        <v>-12556921</v>
      </c>
      <c r="S134" s="631"/>
      <c r="X134" s="7"/>
      <c r="Y134" s="7"/>
    </row>
    <row r="135" spans="3:25" s="211" customFormat="1" ht="18" customHeight="1">
      <c r="C135" s="211">
        <v>1</v>
      </c>
      <c r="D135" s="628" t="s">
        <v>633</v>
      </c>
      <c r="E135" s="703">
        <v>329</v>
      </c>
      <c r="F135" s="629" t="s">
        <v>312</v>
      </c>
      <c r="G135" s="414">
        <v>1000</v>
      </c>
      <c r="H135" s="414"/>
      <c r="I135" s="414" t="s">
        <v>474</v>
      </c>
      <c r="J135" s="211">
        <f t="shared" si="7"/>
        <v>1190766507</v>
      </c>
      <c r="K135" s="414" t="s">
        <v>474</v>
      </c>
      <c r="L135" s="630">
        <f>ROUND(SUMIF(T_IS!$F:$F,T198_TB!E135,T_IS!$W:$W),0)+SUMIF($T$5:$T$8,E135,$V$5:$V$8)</f>
        <v>1190766507</v>
      </c>
      <c r="N135" s="211" t="s">
        <v>692</v>
      </c>
      <c r="Q135" s="698">
        <v>666386460</v>
      </c>
      <c r="R135" s="699">
        <f t="shared" si="10"/>
        <v>-524380047</v>
      </c>
      <c r="S135" s="631"/>
      <c r="X135" s="7"/>
      <c r="Y135" s="7"/>
    </row>
    <row r="136" spans="3:25" s="211" customFormat="1" ht="18" customHeight="1">
      <c r="C136" s="211">
        <v>1</v>
      </c>
      <c r="D136" s="628" t="s">
        <v>633</v>
      </c>
      <c r="E136" s="703">
        <v>303</v>
      </c>
      <c r="F136" s="629" t="s">
        <v>760</v>
      </c>
      <c r="G136" s="414">
        <v>1000</v>
      </c>
      <c r="H136" s="414"/>
      <c r="I136" s="414" t="s">
        <v>474</v>
      </c>
      <c r="J136" s="211">
        <f t="shared" si="7"/>
        <v>886857714</v>
      </c>
      <c r="K136" s="414" t="s">
        <v>474</v>
      </c>
      <c r="L136" s="630">
        <f>ROUND(SUMIF(T_IS!$F:$F,T198_TB!E136,T_IS!$W:$W),0)+SUMIF($T$5:$T$8,E136,$V$5:$V$8)</f>
        <v>886857714</v>
      </c>
      <c r="N136" s="211" t="s">
        <v>692</v>
      </c>
      <c r="Q136" s="698">
        <v>412085862</v>
      </c>
      <c r="R136" s="699">
        <f t="shared" si="10"/>
        <v>-474771852</v>
      </c>
      <c r="S136" s="631"/>
      <c r="X136" s="7"/>
      <c r="Y136" s="7"/>
    </row>
    <row r="137" spans="3:25" s="211" customFormat="1" ht="18" customHeight="1">
      <c r="C137" s="211">
        <v>1</v>
      </c>
      <c r="D137" s="628" t="s">
        <v>633</v>
      </c>
      <c r="E137" s="703">
        <v>401</v>
      </c>
      <c r="F137" s="629" t="s">
        <v>674</v>
      </c>
      <c r="G137" s="414">
        <v>1000</v>
      </c>
      <c r="H137" s="414"/>
      <c r="I137" s="414" t="s">
        <v>474</v>
      </c>
      <c r="J137" s="211">
        <f t="shared" si="7"/>
        <v>-595479755</v>
      </c>
      <c r="K137" s="414" t="s">
        <v>474</v>
      </c>
      <c r="L137" s="630">
        <f>-ROUND(SUMIF(T_IS!$F:$F,T198_TB!E137,T_IS!$W:$W),0)+SUMIF($T$5:$T$8,E137,$V$5:$V$8)</f>
        <v>-595479755</v>
      </c>
      <c r="N137" s="211" t="s">
        <v>691</v>
      </c>
      <c r="Q137" s="698">
        <v>-1373387026</v>
      </c>
      <c r="R137" s="699">
        <f t="shared" si="10"/>
        <v>-777907271</v>
      </c>
      <c r="S137" s="631"/>
      <c r="X137" s="7"/>
      <c r="Y137" s="7"/>
    </row>
    <row r="138" spans="3:25" s="211" customFormat="1" ht="18" customHeight="1">
      <c r="C138" s="211">
        <v>1</v>
      </c>
      <c r="D138" s="628" t="s">
        <v>633</v>
      </c>
      <c r="E138" s="703">
        <v>402</v>
      </c>
      <c r="F138" s="629" t="s">
        <v>675</v>
      </c>
      <c r="G138" s="414">
        <v>1000</v>
      </c>
      <c r="H138" s="414"/>
      <c r="I138" s="414" t="s">
        <v>474</v>
      </c>
      <c r="J138" s="211">
        <f t="shared" si="7"/>
        <v>-391929068</v>
      </c>
      <c r="K138" s="414" t="s">
        <v>474</v>
      </c>
      <c r="L138" s="630">
        <f>-ROUND(SUMIF(T_IS!$F:$F,T198_TB!E138,T_IS!$W:$W),0)+SUMIF($T$5:$T$8,E138,$V$5:$V$8)</f>
        <v>-391929068</v>
      </c>
      <c r="N138" s="211" t="s">
        <v>691</v>
      </c>
      <c r="Q138" s="698">
        <v>-888989075</v>
      </c>
      <c r="R138" s="699">
        <f t="shared" si="10"/>
        <v>-497060007</v>
      </c>
      <c r="S138" s="631"/>
      <c r="X138" s="7"/>
      <c r="Y138" s="7"/>
    </row>
    <row r="139" spans="3:25" s="211" customFormat="1" ht="18" customHeight="1">
      <c r="C139" s="211">
        <v>1</v>
      </c>
      <c r="D139" s="628" t="s">
        <v>633</v>
      </c>
      <c r="E139" s="703">
        <v>403</v>
      </c>
      <c r="F139" s="629" t="s">
        <v>676</v>
      </c>
      <c r="G139" s="414">
        <v>1000</v>
      </c>
      <c r="H139" s="414"/>
      <c r="I139" s="414" t="s">
        <v>474</v>
      </c>
      <c r="J139" s="211">
        <f t="shared" si="7"/>
        <v>-48978076</v>
      </c>
      <c r="K139" s="414" t="s">
        <v>474</v>
      </c>
      <c r="L139" s="630">
        <f>-ROUND(SUMIF(T_IS!$F:$F,T198_TB!E139,T_IS!$W:$W),0)+SUMIF($T$5:$T$8,E139,$V$5:$V$8)</f>
        <v>-48978076</v>
      </c>
      <c r="N139" s="211" t="s">
        <v>691</v>
      </c>
      <c r="Q139" s="698">
        <v>-102230900</v>
      </c>
      <c r="R139" s="699">
        <f t="shared" si="10"/>
        <v>-53252824</v>
      </c>
      <c r="S139" s="631"/>
      <c r="X139" s="7"/>
      <c r="Y139" s="7"/>
    </row>
    <row r="140" spans="3:25" s="211" customFormat="1" ht="18" customHeight="1">
      <c r="C140" s="211">
        <v>1</v>
      </c>
      <c r="D140" s="628" t="s">
        <v>633</v>
      </c>
      <c r="E140" s="703">
        <v>404</v>
      </c>
      <c r="F140" s="629" t="s">
        <v>677</v>
      </c>
      <c r="G140" s="414">
        <v>1000</v>
      </c>
      <c r="H140" s="414"/>
      <c r="I140" s="414" t="s">
        <v>474</v>
      </c>
      <c r="J140" s="211">
        <f t="shared" si="7"/>
        <v>0</v>
      </c>
      <c r="K140" s="414" t="s">
        <v>474</v>
      </c>
      <c r="L140" s="630">
        <f>-ROUND(SUMIF(T_IS!$F:$F,T198_TB!E140,T_IS!$W:$W),0)+SUMIF($T$5:$T$8,E140,$V$5:$V$8)</f>
        <v>0</v>
      </c>
      <c r="N140" s="211" t="s">
        <v>691</v>
      </c>
      <c r="Q140" s="698">
        <v>-30066519</v>
      </c>
      <c r="R140" s="699">
        <f t="shared" si="10"/>
        <v>-30066519</v>
      </c>
      <c r="S140" s="631"/>
      <c r="X140" s="7"/>
      <c r="Y140" s="7"/>
    </row>
    <row r="141" spans="3:25" s="211" customFormat="1" ht="18" customHeight="1">
      <c r="C141" s="211">
        <v>1</v>
      </c>
      <c r="D141" s="628" t="s">
        <v>633</v>
      </c>
      <c r="E141" s="703">
        <v>405</v>
      </c>
      <c r="F141" s="629" t="s">
        <v>678</v>
      </c>
      <c r="G141" s="414">
        <v>1000</v>
      </c>
      <c r="H141" s="414"/>
      <c r="I141" s="414" t="s">
        <v>474</v>
      </c>
      <c r="J141" s="211">
        <f t="shared" si="7"/>
        <v>0</v>
      </c>
      <c r="K141" s="414" t="s">
        <v>474</v>
      </c>
      <c r="L141" s="630">
        <f>-ROUND(SUMIF(T_IS!$F:$F,T198_TB!E141,T_IS!$W:$W),0)+SUMIF($T$5:$T$8,E141,$V$5:$V$8)</f>
        <v>0</v>
      </c>
      <c r="N141" s="211" t="s">
        <v>691</v>
      </c>
      <c r="Q141" s="698">
        <v>-10629611</v>
      </c>
      <c r="R141" s="699">
        <f t="shared" si="10"/>
        <v>-10629611</v>
      </c>
      <c r="S141" s="631"/>
      <c r="X141" s="7"/>
      <c r="Y141" s="7"/>
    </row>
    <row r="142" spans="3:25" s="211" customFormat="1" ht="18" customHeight="1">
      <c r="C142" s="211">
        <v>1</v>
      </c>
      <c r="D142" s="628" t="s">
        <v>633</v>
      </c>
      <c r="E142" s="703">
        <v>602</v>
      </c>
      <c r="F142" s="629" t="s">
        <v>679</v>
      </c>
      <c r="G142" s="414">
        <v>1000</v>
      </c>
      <c r="H142" s="414"/>
      <c r="I142" s="414" t="s">
        <v>474</v>
      </c>
      <c r="J142" s="211">
        <f t="shared" si="7"/>
        <v>-2240200</v>
      </c>
      <c r="K142" s="414" t="s">
        <v>474</v>
      </c>
      <c r="L142" s="630">
        <f>-ROUND(SUMIF(T_IS!$F:$F,T198_TB!E142,T_IS!$W:$W),0)+SUMIF($T$5:$T$8,E142,$V$5:$V$8)</f>
        <v>-2240200</v>
      </c>
      <c r="N142" s="211" t="s">
        <v>691</v>
      </c>
      <c r="Q142" s="698">
        <v>-221590</v>
      </c>
      <c r="R142" s="699">
        <f t="shared" si="10"/>
        <v>2018610</v>
      </c>
      <c r="S142" s="631"/>
      <c r="X142" s="7"/>
      <c r="Y142" s="7"/>
    </row>
    <row r="143" spans="3:25" s="211" customFormat="1" ht="18" customHeight="1">
      <c r="C143" s="211">
        <v>1</v>
      </c>
      <c r="D143" s="628" t="s">
        <v>633</v>
      </c>
      <c r="E143" s="703">
        <v>604</v>
      </c>
      <c r="F143" s="629" t="s">
        <v>680</v>
      </c>
      <c r="G143" s="414">
        <v>1000</v>
      </c>
      <c r="H143" s="414"/>
      <c r="I143" s="414" t="s">
        <v>474</v>
      </c>
      <c r="J143" s="211">
        <f t="shared" si="7"/>
        <v>0</v>
      </c>
      <c r="K143" s="414" t="s">
        <v>474</v>
      </c>
      <c r="L143" s="630">
        <f>-ROUND(SUMIF(T_IS!$F:$F,T198_TB!E143,T_IS!$W:$W),0)+SUMIF($T$5:$T$8,E143,$V$5:$V$8)</f>
        <v>0</v>
      </c>
      <c r="N143" s="211" t="s">
        <v>691</v>
      </c>
      <c r="Q143" s="698">
        <v>0</v>
      </c>
      <c r="R143" s="699">
        <f t="shared" si="10"/>
        <v>0</v>
      </c>
      <c r="S143" s="631"/>
      <c r="X143" s="7"/>
      <c r="Y143" s="7"/>
    </row>
    <row r="144" spans="3:25" s="211" customFormat="1" ht="18" customHeight="1">
      <c r="C144" s="211">
        <v>1</v>
      </c>
      <c r="D144" s="628" t="s">
        <v>633</v>
      </c>
      <c r="E144" s="703">
        <v>603</v>
      </c>
      <c r="F144" s="629" t="s">
        <v>681</v>
      </c>
      <c r="G144" s="414">
        <v>1000</v>
      </c>
      <c r="H144" s="414"/>
      <c r="I144" s="414" t="s">
        <v>474</v>
      </c>
      <c r="J144" s="211">
        <f t="shared" si="7"/>
        <v>-197174085</v>
      </c>
      <c r="K144" s="414" t="s">
        <v>474</v>
      </c>
      <c r="L144" s="630">
        <f>-ROUND(SUMIF(T_IS!$F:$F,T198_TB!E144,T_IS!$W:$W),0)+SUMIF($T$5:$T$8,E144,$V$5:$V$8)</f>
        <v>-197174085</v>
      </c>
      <c r="N144" s="211" t="s">
        <v>691</v>
      </c>
      <c r="Q144" s="698">
        <v>-371139980</v>
      </c>
      <c r="R144" s="699">
        <f t="shared" si="10"/>
        <v>-173965895</v>
      </c>
      <c r="S144" s="631"/>
      <c r="X144" s="7"/>
      <c r="Y144" s="7"/>
    </row>
    <row r="145" spans="3:25" s="211" customFormat="1" ht="18" customHeight="1">
      <c r="C145" s="211">
        <v>1</v>
      </c>
      <c r="D145" s="628" t="s">
        <v>633</v>
      </c>
      <c r="E145" s="704">
        <v>501</v>
      </c>
      <c r="F145" s="634" t="s">
        <v>682</v>
      </c>
      <c r="G145" s="414">
        <v>1000</v>
      </c>
      <c r="H145" s="414"/>
      <c r="I145" s="414" t="s">
        <v>474</v>
      </c>
      <c r="J145" s="211">
        <f t="shared" si="7"/>
        <v>0</v>
      </c>
      <c r="K145" s="414" t="s">
        <v>474</v>
      </c>
      <c r="L145" s="630">
        <f>ROUND(SUMIF(T_IS!$F:$F,T198_TB!E145,T_IS!$W:$W),0)+SUMIF($T$5:$T$8,E145,$V$5:$V$8)</f>
        <v>0</v>
      </c>
      <c r="N145" s="211" t="s">
        <v>692</v>
      </c>
      <c r="Q145" s="698">
        <v>307077482</v>
      </c>
      <c r="R145" s="699">
        <f t="shared" si="10"/>
        <v>307077482</v>
      </c>
      <c r="S145" s="631"/>
      <c r="X145" s="7"/>
      <c r="Y145" s="7"/>
    </row>
    <row r="146" spans="3:25" s="211" customFormat="1" ht="18" customHeight="1">
      <c r="C146" s="211">
        <v>1</v>
      </c>
      <c r="D146" s="628" t="s">
        <v>633</v>
      </c>
      <c r="E146" s="704">
        <v>505</v>
      </c>
      <c r="F146" s="634" t="s">
        <v>1654</v>
      </c>
      <c r="G146" s="414">
        <v>1000</v>
      </c>
      <c r="H146" s="414"/>
      <c r="I146" s="414" t="s">
        <v>474</v>
      </c>
      <c r="J146" s="211">
        <f t="shared" si="7"/>
        <v>172075657</v>
      </c>
      <c r="K146" s="414" t="s">
        <v>474</v>
      </c>
      <c r="L146" s="630">
        <f>ROUND(SUMIF(T_IS!$F:$F,T198_TB!E146,T_IS!$W:$W),0)+SUMIF($T$5:$T$8,E146,$V$5:$V$8)</f>
        <v>172075657</v>
      </c>
      <c r="N146" s="211" t="s">
        <v>692</v>
      </c>
      <c r="Q146" s="698">
        <v>226023836</v>
      </c>
      <c r="R146" s="699">
        <f t="shared" si="10"/>
        <v>53948179</v>
      </c>
      <c r="S146" s="631"/>
      <c r="X146" s="7"/>
      <c r="Y146" s="7"/>
    </row>
    <row r="147" spans="3:25" s="211" customFormat="1" ht="18" customHeight="1">
      <c r="C147" s="211">
        <v>1</v>
      </c>
      <c r="D147" s="628" t="s">
        <v>633</v>
      </c>
      <c r="E147" s="704">
        <v>502</v>
      </c>
      <c r="F147" s="634" t="s">
        <v>683</v>
      </c>
      <c r="G147" s="414">
        <v>1000</v>
      </c>
      <c r="H147" s="414"/>
      <c r="I147" s="414" t="s">
        <v>474</v>
      </c>
      <c r="J147" s="211">
        <f t="shared" si="7"/>
        <v>561279541</v>
      </c>
      <c r="K147" s="414" t="s">
        <v>474</v>
      </c>
      <c r="L147" s="630">
        <f>ROUND(SUMIF(T_IS!$F:$F,T198_TB!E147,T_IS!$W:$W),0)+SUMIF($T$5:$T$8,E147,$V$5:$V$8)</f>
        <v>561279541</v>
      </c>
      <c r="N147" s="211" t="s">
        <v>692</v>
      </c>
      <c r="Q147" s="698">
        <v>195975455</v>
      </c>
      <c r="R147" s="699">
        <f t="shared" ref="R147:R163" si="11">Q147-L147</f>
        <v>-365304086</v>
      </c>
      <c r="S147" s="631"/>
      <c r="X147" s="7"/>
      <c r="Y147" s="7"/>
    </row>
    <row r="148" spans="3:25" s="211" customFormat="1" ht="18" customHeight="1">
      <c r="C148" s="211">
        <v>1</v>
      </c>
      <c r="D148" s="628" t="s">
        <v>633</v>
      </c>
      <c r="E148" s="704">
        <v>503</v>
      </c>
      <c r="F148" s="634" t="s">
        <v>684</v>
      </c>
      <c r="G148" s="414">
        <v>1000</v>
      </c>
      <c r="H148" s="414"/>
      <c r="I148" s="414" t="s">
        <v>474</v>
      </c>
      <c r="J148" s="211">
        <f t="shared" si="7"/>
        <v>2170624184</v>
      </c>
      <c r="K148" s="414" t="s">
        <v>474</v>
      </c>
      <c r="L148" s="630">
        <f>ROUND(SUMIF(T_IS!$F:$F,T198_TB!E148,T_IS!$W:$W),0)+SUMIF($T$5:$T$8,E148,$V$5:$V$8)</f>
        <v>2170624184</v>
      </c>
      <c r="N148" s="211" t="s">
        <v>692</v>
      </c>
      <c r="Q148" s="698">
        <v>409022657</v>
      </c>
      <c r="R148" s="699">
        <f t="shared" si="11"/>
        <v>-1761601527</v>
      </c>
      <c r="S148" s="631"/>
      <c r="X148" s="7"/>
      <c r="Y148" s="7"/>
    </row>
    <row r="149" spans="3:25" s="211" customFormat="1" ht="18" customHeight="1">
      <c r="C149" s="211">
        <v>1</v>
      </c>
      <c r="D149" s="628" t="s">
        <v>633</v>
      </c>
      <c r="E149" s="704">
        <v>504</v>
      </c>
      <c r="F149" s="634" t="s">
        <v>685</v>
      </c>
      <c r="G149" s="414">
        <v>1000</v>
      </c>
      <c r="H149" s="414"/>
      <c r="I149" s="414" t="s">
        <v>474</v>
      </c>
      <c r="J149" s="211">
        <f t="shared" si="7"/>
        <v>996359683</v>
      </c>
      <c r="K149" s="414" t="s">
        <v>474</v>
      </c>
      <c r="L149" s="630">
        <f>ROUND(SUMIF(T_IS!$F:$F,T198_TB!E149,T_IS!$W:$W),0)+SUMIF($T$5:$T$8,E149,$V$5:$V$8)</f>
        <v>996359683</v>
      </c>
      <c r="N149" s="211" t="s">
        <v>692</v>
      </c>
      <c r="Q149" s="698">
        <v>0</v>
      </c>
      <c r="R149" s="699">
        <f t="shared" si="11"/>
        <v>-996359683</v>
      </c>
      <c r="S149" s="631"/>
      <c r="X149" s="7"/>
      <c r="Y149" s="7"/>
    </row>
    <row r="150" spans="3:25" s="211" customFormat="1" ht="18" customHeight="1">
      <c r="C150" s="211">
        <v>1</v>
      </c>
      <c r="D150" s="628" t="s">
        <v>633</v>
      </c>
      <c r="E150" s="704">
        <v>333</v>
      </c>
      <c r="F150" s="634" t="s">
        <v>686</v>
      </c>
      <c r="G150" s="414">
        <v>1000</v>
      </c>
      <c r="H150" s="414"/>
      <c r="I150" s="414" t="s">
        <v>474</v>
      </c>
      <c r="J150" s="211">
        <f t="shared" si="7"/>
        <v>0</v>
      </c>
      <c r="K150" s="414" t="s">
        <v>474</v>
      </c>
      <c r="L150" s="630">
        <f>ROUND(SUMIF(T_IS!$F:$F,T198_TB!E150,T_IS!$W:$W),0)+SUMIF($T$5:$T$8,E150,$V$5:$V$8)</f>
        <v>0</v>
      </c>
      <c r="N150" s="211" t="s">
        <v>692</v>
      </c>
      <c r="Q150" s="698">
        <v>0</v>
      </c>
      <c r="R150" s="699">
        <f t="shared" si="11"/>
        <v>0</v>
      </c>
      <c r="S150" s="631"/>
      <c r="X150" s="7"/>
      <c r="Y150" s="7"/>
    </row>
    <row r="151" spans="3:25" s="211" customFormat="1" ht="18" customHeight="1">
      <c r="C151" s="211">
        <v>1</v>
      </c>
      <c r="D151" s="628" t="s">
        <v>633</v>
      </c>
      <c r="E151" s="704">
        <v>907</v>
      </c>
      <c r="F151" s="634" t="s">
        <v>2020</v>
      </c>
      <c r="G151" s="414">
        <v>1000</v>
      </c>
      <c r="H151" s="414"/>
      <c r="I151" s="414" t="s">
        <v>474</v>
      </c>
      <c r="J151" s="211">
        <f t="shared" si="7"/>
        <v>0</v>
      </c>
      <c r="K151" s="414" t="s">
        <v>474</v>
      </c>
      <c r="L151" s="630">
        <f>ROUND(SUMIF(T_IS!$F:$F,T198_TB!E151,T_IS!$W:$W),0)+SUMIF($T$5:$T$8,E151,$V$5:$V$8)</f>
        <v>0</v>
      </c>
      <c r="N151" s="211" t="s">
        <v>692</v>
      </c>
      <c r="Q151" s="698">
        <v>798641919</v>
      </c>
      <c r="R151" s="699">
        <f t="shared" si="11"/>
        <v>798641919</v>
      </c>
      <c r="S151" s="631"/>
      <c r="X151" s="7"/>
      <c r="Y151" s="7"/>
    </row>
    <row r="152" spans="3:25" s="211" customFormat="1" ht="18" customHeight="1">
      <c r="C152" s="211">
        <v>1</v>
      </c>
      <c r="D152" s="628" t="s">
        <v>633</v>
      </c>
      <c r="E152" s="704">
        <v>706</v>
      </c>
      <c r="F152" s="634" t="s">
        <v>687</v>
      </c>
      <c r="G152" s="414">
        <v>1000</v>
      </c>
      <c r="H152" s="414"/>
      <c r="I152" s="414" t="s">
        <v>474</v>
      </c>
      <c r="J152" s="211">
        <f t="shared" ref="J152:J163" si="12">+L152</f>
        <v>5548640215</v>
      </c>
      <c r="K152" s="414" t="s">
        <v>474</v>
      </c>
      <c r="L152" s="630">
        <f>ROUND(SUMIF(T_IS!$F:$F,T198_TB!E152,T_IS!$W:$W),0)+SUMIF($T$5:$T$8,E152,$V$5:$V$8)</f>
        <v>5548640215</v>
      </c>
      <c r="N152" s="211" t="s">
        <v>692</v>
      </c>
      <c r="Q152" s="698">
        <v>21824681843</v>
      </c>
      <c r="R152" s="699">
        <f t="shared" si="11"/>
        <v>16276041628</v>
      </c>
      <c r="S152" s="631"/>
      <c r="X152" s="7"/>
      <c r="Y152" s="7"/>
    </row>
    <row r="153" spans="3:25" s="211" customFormat="1" ht="18" customHeight="1">
      <c r="C153" s="211">
        <v>1</v>
      </c>
      <c r="D153" s="628" t="s">
        <v>633</v>
      </c>
      <c r="E153" s="704">
        <v>702</v>
      </c>
      <c r="F153" s="634" t="s">
        <v>734</v>
      </c>
      <c r="G153" s="414">
        <v>1000</v>
      </c>
      <c r="H153" s="414"/>
      <c r="I153" s="414" t="s">
        <v>474</v>
      </c>
      <c r="J153" s="211">
        <f t="shared" si="12"/>
        <v>0</v>
      </c>
      <c r="K153" s="414" t="s">
        <v>474</v>
      </c>
      <c r="L153" s="630">
        <f>ROUND(SUMIF(T_IS!$F:$F,T198_TB!E153,T_IS!$W:$W),0)+SUMIF($T$5:$T$8,E153,$V$5:$V$8)</f>
        <v>0</v>
      </c>
      <c r="N153" s="211" t="s">
        <v>692</v>
      </c>
      <c r="Q153" s="698">
        <v>127467924</v>
      </c>
      <c r="R153" s="699">
        <f t="shared" si="11"/>
        <v>127467924</v>
      </c>
      <c r="S153" s="631"/>
      <c r="X153" s="7"/>
      <c r="Y153" s="7"/>
    </row>
    <row r="154" spans="3:25" s="211" customFormat="1" ht="18" customHeight="1">
      <c r="C154" s="211">
        <v>1</v>
      </c>
      <c r="D154" s="628" t="s">
        <v>633</v>
      </c>
      <c r="E154" s="704">
        <v>701</v>
      </c>
      <c r="F154" s="634" t="s">
        <v>688</v>
      </c>
      <c r="G154" s="414">
        <v>1000</v>
      </c>
      <c r="H154" s="414"/>
      <c r="I154" s="414" t="s">
        <v>474</v>
      </c>
      <c r="J154" s="211">
        <f t="shared" si="12"/>
        <v>1000</v>
      </c>
      <c r="K154" s="414" t="s">
        <v>474</v>
      </c>
      <c r="L154" s="630">
        <f>ROUND(SUMIF(T_IS!$F:$F,T198_TB!E154,T_IS!$W:$W),0)+SUMIF($T$5:$T$8,E154,$V$5:$V$8)</f>
        <v>1000</v>
      </c>
      <c r="N154" s="211" t="s">
        <v>692</v>
      </c>
      <c r="Q154" s="698">
        <v>25430480</v>
      </c>
      <c r="R154" s="699">
        <f t="shared" si="11"/>
        <v>25429480</v>
      </c>
      <c r="S154" s="631"/>
      <c r="X154" s="7"/>
      <c r="Y154" s="7"/>
    </row>
    <row r="155" spans="3:25" s="211" customFormat="1" ht="18" customHeight="1">
      <c r="C155" s="211">
        <v>1</v>
      </c>
      <c r="D155" s="628" t="s">
        <v>633</v>
      </c>
      <c r="E155" s="704">
        <v>705</v>
      </c>
      <c r="F155" s="634" t="s">
        <v>736</v>
      </c>
      <c r="G155" s="414">
        <v>1000</v>
      </c>
      <c r="H155" s="414"/>
      <c r="I155" s="414" t="s">
        <v>474</v>
      </c>
      <c r="J155" s="211">
        <f t="shared" si="12"/>
        <v>598158</v>
      </c>
      <c r="K155" s="414" t="s">
        <v>474</v>
      </c>
      <c r="L155" s="630">
        <f>ROUND(SUMIF(T_IS!$F:$F,T198_TB!E155,T_IS!$W:$W),0)+SUMIF($T$5:$T$8,E155,$V$5:$V$8)</f>
        <v>598158</v>
      </c>
      <c r="N155" s="211" t="s">
        <v>692</v>
      </c>
      <c r="Q155" s="698">
        <v>15979275</v>
      </c>
      <c r="R155" s="699">
        <f t="shared" si="11"/>
        <v>15381117</v>
      </c>
      <c r="S155" s="631"/>
      <c r="X155" s="7"/>
      <c r="Y155" s="7"/>
    </row>
    <row r="156" spans="3:25" s="211" customFormat="1" ht="18" customHeight="1">
      <c r="C156" s="211">
        <v>1</v>
      </c>
      <c r="D156" s="628" t="s">
        <v>633</v>
      </c>
      <c r="E156" s="704">
        <v>703</v>
      </c>
      <c r="F156" s="634" t="s">
        <v>764</v>
      </c>
      <c r="G156" s="414">
        <v>1000</v>
      </c>
      <c r="H156" s="414"/>
      <c r="I156" s="414" t="s">
        <v>474</v>
      </c>
      <c r="J156" s="211">
        <f t="shared" si="12"/>
        <v>3577996809</v>
      </c>
      <c r="K156" s="414" t="s">
        <v>474</v>
      </c>
      <c r="L156" s="630">
        <f>ROUND(SUMIF(T_IS!$F:$F,T198_TB!E156,T_IS!$W:$W),0)+SUMIF($T$5:$T$8,E156,$V$5:$V$8)</f>
        <v>3577996809</v>
      </c>
      <c r="N156" s="211" t="s">
        <v>692</v>
      </c>
      <c r="Q156" s="698">
        <v>622003191</v>
      </c>
      <c r="R156" s="699">
        <f t="shared" si="11"/>
        <v>-2955993618</v>
      </c>
      <c r="S156" s="631"/>
      <c r="T156" s="211">
        <f>+SUMIF($T$5:$T$8,E112,$V$5:$V$8)</f>
        <v>0</v>
      </c>
      <c r="X156" s="7"/>
      <c r="Y156" s="7"/>
    </row>
    <row r="157" spans="3:25" s="211" customFormat="1" ht="18" customHeight="1">
      <c r="C157" s="211">
        <v>1</v>
      </c>
      <c r="D157" s="628" t="s">
        <v>633</v>
      </c>
      <c r="E157" s="704">
        <v>709</v>
      </c>
      <c r="F157" s="634" t="s">
        <v>482</v>
      </c>
      <c r="G157" s="414">
        <v>1000</v>
      </c>
      <c r="H157" s="414"/>
      <c r="I157" s="414" t="s">
        <v>474</v>
      </c>
      <c r="J157" s="211">
        <f t="shared" si="12"/>
        <v>0</v>
      </c>
      <c r="K157" s="414" t="s">
        <v>474</v>
      </c>
      <c r="L157" s="630">
        <f>ROUND(SUMIF(T_IS!$F:$F,T198_TB!E157,T_IS!$W:$W),0)+SUMIF($T$5:$T$8,E157,$V$5:$V$8)</f>
        <v>0</v>
      </c>
      <c r="N157" s="211" t="s">
        <v>692</v>
      </c>
      <c r="Q157" s="698">
        <v>0</v>
      </c>
      <c r="R157" s="699">
        <f t="shared" si="11"/>
        <v>0</v>
      </c>
      <c r="S157" s="631"/>
      <c r="X157" s="7"/>
      <c r="Y157" s="7"/>
    </row>
    <row r="158" spans="3:25" s="211" customFormat="1" ht="18" customHeight="1">
      <c r="C158" s="211">
        <v>1</v>
      </c>
      <c r="D158" s="628" t="s">
        <v>633</v>
      </c>
      <c r="E158" s="704">
        <v>704</v>
      </c>
      <c r="F158" s="634" t="s">
        <v>689</v>
      </c>
      <c r="G158" s="414">
        <v>1000</v>
      </c>
      <c r="H158" s="414"/>
      <c r="I158" s="414" t="s">
        <v>474</v>
      </c>
      <c r="J158" s="211">
        <f t="shared" si="12"/>
        <v>742228141</v>
      </c>
      <c r="K158" s="414" t="s">
        <v>474</v>
      </c>
      <c r="L158" s="630">
        <f>ROUND(SUMIF(T_IS!$F:$F,T198_TB!E158,T_IS!$W:$W),0)+SUMIF($T$5:$T$8,E158,$V$5:$V$8)</f>
        <v>742228141</v>
      </c>
      <c r="N158" s="211" t="s">
        <v>692</v>
      </c>
      <c r="Q158" s="698">
        <v>34396117</v>
      </c>
      <c r="R158" s="699">
        <f t="shared" si="11"/>
        <v>-707832024</v>
      </c>
      <c r="S158" s="631"/>
      <c r="X158" s="7"/>
      <c r="Y158" s="7"/>
    </row>
    <row r="159" spans="3:25" s="211" customFormat="1" ht="18" customHeight="1">
      <c r="C159" s="211">
        <v>1</v>
      </c>
      <c r="D159" s="628" t="s">
        <v>633</v>
      </c>
      <c r="E159" s="704">
        <v>801</v>
      </c>
      <c r="F159" s="634" t="s">
        <v>380</v>
      </c>
      <c r="G159" s="414">
        <v>1000</v>
      </c>
      <c r="H159" s="414"/>
      <c r="I159" s="414" t="s">
        <v>474</v>
      </c>
      <c r="J159" s="211">
        <f t="shared" si="12"/>
        <v>-1980322895</v>
      </c>
      <c r="K159" s="414" t="s">
        <v>474</v>
      </c>
      <c r="L159" s="630">
        <f>ROUND(SUMIF(T_IS!$F:$F,T198_TB!E159,T_IS!$W:$W),0)+SUMIF($T$5:$T$8,E159,$V$5:$V$8)</f>
        <v>-1980322895</v>
      </c>
      <c r="N159" s="211" t="s">
        <v>692</v>
      </c>
      <c r="Q159" s="698">
        <v>70238074</v>
      </c>
      <c r="R159" s="699">
        <f t="shared" si="11"/>
        <v>2050560969</v>
      </c>
      <c r="S159" s="631"/>
      <c r="X159" s="7"/>
      <c r="Y159" s="7"/>
    </row>
    <row r="160" spans="3:25" s="211" customFormat="1" ht="18" customHeight="1">
      <c r="C160" s="211">
        <v>1</v>
      </c>
      <c r="D160" s="628" t="s">
        <v>633</v>
      </c>
      <c r="E160" s="704">
        <v>708</v>
      </c>
      <c r="F160" s="634" t="s">
        <v>1651</v>
      </c>
      <c r="G160" s="414">
        <v>1000</v>
      </c>
      <c r="H160" s="414"/>
      <c r="I160" s="414" t="s">
        <v>474</v>
      </c>
      <c r="J160" s="211">
        <f t="shared" si="12"/>
        <v>3268112</v>
      </c>
      <c r="K160" s="414" t="s">
        <v>474</v>
      </c>
      <c r="L160" s="630">
        <f>ROUND(SUMIF(T_IS!$F:$F,T198_TB!E160,T_IS!$W:$W),0)+SUMIF($T$5:$T$8,E160,$V$5:$V$8)</f>
        <v>3268112</v>
      </c>
      <c r="N160" s="211" t="s">
        <v>692</v>
      </c>
      <c r="Q160" s="698">
        <v>3851136</v>
      </c>
      <c r="R160" s="699">
        <f t="shared" si="11"/>
        <v>583024</v>
      </c>
      <c r="S160" s="631"/>
      <c r="X160" s="7"/>
      <c r="Y160" s="7"/>
    </row>
    <row r="161" spans="3:25" s="211" customFormat="1" ht="18" customHeight="1">
      <c r="C161" s="211">
        <v>1</v>
      </c>
      <c r="D161" s="628" t="s">
        <v>633</v>
      </c>
      <c r="E161" s="722">
        <v>3406</v>
      </c>
      <c r="F161" s="634" t="s">
        <v>181</v>
      </c>
      <c r="G161" s="414">
        <v>1000</v>
      </c>
      <c r="H161" s="414"/>
      <c r="I161" s="414" t="s">
        <v>474</v>
      </c>
      <c r="J161" s="211">
        <f t="shared" si="12"/>
        <v>-5245911453</v>
      </c>
      <c r="K161" s="414" t="s">
        <v>474</v>
      </c>
      <c r="L161" s="630">
        <f>-ROUND(SUMIF(T_BS!$F:$F,T198_TB!E161,T_BS!$W:$W),0)+SUMIF($T$5:$T$8,15,$V$5:$V$8)</f>
        <v>-5245911453</v>
      </c>
      <c r="N161" s="211" t="s">
        <v>8</v>
      </c>
      <c r="Q161" s="625">
        <v>-4910345533</v>
      </c>
      <c r="R161" s="626">
        <f t="shared" si="11"/>
        <v>335565920</v>
      </c>
      <c r="S161" s="631"/>
      <c r="X161" s="7"/>
      <c r="Y161" s="7"/>
    </row>
    <row r="162" spans="3:25" s="211" customFormat="1" ht="18" customHeight="1">
      <c r="C162" s="211">
        <v>1</v>
      </c>
      <c r="D162" s="628" t="s">
        <v>633</v>
      </c>
      <c r="E162" s="722">
        <v>3408</v>
      </c>
      <c r="F162" s="634" t="s">
        <v>2062</v>
      </c>
      <c r="G162" s="414">
        <v>1000</v>
      </c>
      <c r="H162" s="414">
        <v>3</v>
      </c>
      <c r="I162" s="414" t="s">
        <v>474</v>
      </c>
      <c r="J162" s="211">
        <f t="shared" si="12"/>
        <v>-139640731</v>
      </c>
      <c r="K162" s="414" t="s">
        <v>474</v>
      </c>
      <c r="L162" s="630">
        <f>-ROUND(SUMIF(T_BS!$F:$F,T198_TB!E162,T_BS!$W:$W),0)+SUMIF($T$5:$T$8,15,$V$5:$V$8)</f>
        <v>-139640731</v>
      </c>
      <c r="N162" s="211" t="s">
        <v>8</v>
      </c>
      <c r="Q162" s="625">
        <v>0</v>
      </c>
      <c r="R162" s="626">
        <f t="shared" si="11"/>
        <v>139640731</v>
      </c>
      <c r="S162" s="631"/>
      <c r="X162" s="7"/>
      <c r="Y162" s="7"/>
    </row>
    <row r="163" spans="3:25" s="211" customFormat="1" ht="18" customHeight="1" thickBot="1">
      <c r="C163" s="211">
        <v>1</v>
      </c>
      <c r="D163" s="635" t="s">
        <v>633</v>
      </c>
      <c r="E163" s="705">
        <v>1607</v>
      </c>
      <c r="F163" s="636" t="s">
        <v>690</v>
      </c>
      <c r="G163" s="637">
        <v>1000</v>
      </c>
      <c r="H163" s="637"/>
      <c r="I163" s="637" t="s">
        <v>474</v>
      </c>
      <c r="J163" s="638">
        <f t="shared" si="12"/>
        <v>93286021</v>
      </c>
      <c r="K163" s="637" t="s">
        <v>474</v>
      </c>
      <c r="L163" s="639">
        <f>ROUND(SUMIF(T_BS!$F:$F,T198_TB!E163,T_BS!$W:$W),0)+SUMIF($T$5:$T$8,E163,$V$5:$V$8)</f>
        <v>93286021</v>
      </c>
      <c r="N163" s="211" t="s">
        <v>0</v>
      </c>
      <c r="Q163" s="640">
        <v>212955264</v>
      </c>
      <c r="R163" s="641">
        <f t="shared" si="11"/>
        <v>119669243</v>
      </c>
      <c r="S163" s="631"/>
      <c r="X163" s="7"/>
      <c r="Y163" s="7"/>
    </row>
    <row r="166" spans="3:25" ht="18" customHeight="1">
      <c r="F166" s="211"/>
      <c r="G166" s="414"/>
      <c r="H166" s="414"/>
    </row>
    <row r="167" spans="3:25" ht="18" customHeight="1">
      <c r="F167" s="211"/>
      <c r="G167" s="414"/>
      <c r="H167" s="414"/>
    </row>
    <row r="168" spans="3:25" ht="18" customHeight="1">
      <c r="F168" s="211"/>
      <c r="G168" s="414"/>
      <c r="H168" s="414"/>
    </row>
    <row r="169" spans="3:25" ht="18" customHeight="1">
      <c r="F169" s="211"/>
      <c r="G169" s="414"/>
      <c r="H169" s="414"/>
    </row>
    <row r="170" spans="3:25" ht="18" customHeight="1">
      <c r="F170" s="211"/>
      <c r="G170" s="414"/>
      <c r="H170" s="414"/>
    </row>
    <row r="171" spans="3:25" ht="18" customHeight="1">
      <c r="F171" s="211"/>
      <c r="G171" s="414"/>
      <c r="H171" s="414"/>
    </row>
  </sheetData>
  <autoFilter ref="D4:L163" xr:uid="{00000000-0009-0000-0000-00000C000000}"/>
  <phoneticPr fontId="2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/>
  <dimension ref="A1:N157"/>
  <sheetViews>
    <sheetView zoomScale="80" zoomScaleNormal="80" workbookViewId="0">
      <selection activeCell="R22" sqref="R22"/>
    </sheetView>
  </sheetViews>
  <sheetFormatPr defaultRowHeight="13.5"/>
  <cols>
    <col min="1" max="1" width="11.375" style="726" bestFit="1" customWidth="1"/>
    <col min="2" max="2" width="9" style="726" bestFit="1" customWidth="1"/>
    <col min="3" max="3" width="29.375" style="726" bestFit="1" customWidth="1"/>
    <col min="4" max="4" width="8.375" style="726" bestFit="1" customWidth="1"/>
    <col min="5" max="5" width="8" style="726" bestFit="1" customWidth="1"/>
    <col min="6" max="6" width="11.375" style="726" bestFit="1" customWidth="1"/>
    <col min="7" max="7" width="13.875" style="728" bestFit="1" customWidth="1"/>
    <col min="8" max="8" width="11.375" style="726" bestFit="1" customWidth="1"/>
    <col min="9" max="9" width="13.875" style="728" bestFit="1" customWidth="1"/>
    <col min="10" max="11" width="9" style="726"/>
    <col min="12" max="12" width="14.875" style="726" bestFit="1" customWidth="1"/>
    <col min="13" max="13" width="10.25" style="726" bestFit="1" customWidth="1"/>
    <col min="14" max="16384" width="9" style="726"/>
  </cols>
  <sheetData>
    <row r="1" spans="1:13">
      <c r="A1" s="723" t="s">
        <v>627</v>
      </c>
      <c r="B1" s="723" t="s">
        <v>628</v>
      </c>
      <c r="C1" s="724" t="s">
        <v>629</v>
      </c>
      <c r="D1" s="724" t="s">
        <v>630</v>
      </c>
      <c r="E1" s="724" t="s">
        <v>631</v>
      </c>
      <c r="F1" s="724" t="s">
        <v>632</v>
      </c>
      <c r="G1" s="725" t="s">
        <v>2063</v>
      </c>
      <c r="H1" s="723" t="s">
        <v>2064</v>
      </c>
      <c r="I1" s="725" t="s">
        <v>2065</v>
      </c>
      <c r="J1" s="723" t="s">
        <v>2066</v>
      </c>
      <c r="L1" s="726" t="s">
        <v>2068</v>
      </c>
      <c r="M1" s="726" t="s">
        <v>2069</v>
      </c>
    </row>
    <row r="2" spans="1:13">
      <c r="A2" s="727" t="s">
        <v>633</v>
      </c>
      <c r="B2" s="702">
        <v>1101</v>
      </c>
      <c r="C2" s="623" t="s">
        <v>634</v>
      </c>
      <c r="D2" s="413">
        <v>1000</v>
      </c>
      <c r="E2" s="413"/>
      <c r="F2" s="413" t="s">
        <v>474</v>
      </c>
      <c r="G2" s="7">
        <v>38081</v>
      </c>
      <c r="H2" s="413" t="s">
        <v>474</v>
      </c>
      <c r="I2" s="624">
        <v>38081</v>
      </c>
      <c r="J2" s="724"/>
      <c r="L2" s="728">
        <f>SUMIF(T198_TB!$E:$E,TB!B2,T198_TB!$L:$L)</f>
        <v>0</v>
      </c>
      <c r="M2" s="726">
        <f>IF(I2=L2,"TRUE",I2-L2)</f>
        <v>38081</v>
      </c>
    </row>
    <row r="3" spans="1:13">
      <c r="A3" s="727" t="s">
        <v>633</v>
      </c>
      <c r="B3" s="702">
        <v>1102</v>
      </c>
      <c r="C3" s="623" t="s">
        <v>635</v>
      </c>
      <c r="D3" s="413">
        <v>1000</v>
      </c>
      <c r="E3" s="413"/>
      <c r="F3" s="413" t="s">
        <v>474</v>
      </c>
      <c r="G3" s="7">
        <v>85261921661</v>
      </c>
      <c r="H3" s="413" t="s">
        <v>474</v>
      </c>
      <c r="I3" s="624">
        <v>85261921661</v>
      </c>
      <c r="J3" s="724"/>
      <c r="L3" s="728">
        <f>SUMIF(T198_TB!$E:$E,TB!B3,T198_TB!$L:$L)</f>
        <v>97271207132</v>
      </c>
      <c r="M3" s="726">
        <f t="shared" ref="M3:M66" si="0">IF(I3=L3,"TRUE",I3-L3)</f>
        <v>-12009285471</v>
      </c>
    </row>
    <row r="4" spans="1:13">
      <c r="A4" s="727" t="s">
        <v>633</v>
      </c>
      <c r="B4" s="702">
        <v>1501</v>
      </c>
      <c r="C4" s="623" t="s">
        <v>636</v>
      </c>
      <c r="D4" s="413">
        <v>1000</v>
      </c>
      <c r="E4" s="413"/>
      <c r="F4" s="413" t="s">
        <v>474</v>
      </c>
      <c r="G4" s="7">
        <v>0</v>
      </c>
      <c r="H4" s="413" t="s">
        <v>474</v>
      </c>
      <c r="I4" s="624">
        <v>0</v>
      </c>
      <c r="J4" s="724"/>
      <c r="L4" s="728">
        <f>SUMIF(T198_TB!$E:$E,TB!B4,T198_TB!$L:$L)</f>
        <v>0</v>
      </c>
      <c r="M4" s="726" t="str">
        <f t="shared" si="0"/>
        <v>TRUE</v>
      </c>
    </row>
    <row r="5" spans="1:13">
      <c r="A5" s="727" t="s">
        <v>633</v>
      </c>
      <c r="B5" s="703">
        <v>1201</v>
      </c>
      <c r="C5" s="629" t="s">
        <v>637</v>
      </c>
      <c r="D5" s="414">
        <v>1000</v>
      </c>
      <c r="E5" s="414"/>
      <c r="F5" s="414" t="s">
        <v>474</v>
      </c>
      <c r="G5" s="211">
        <v>20307700404</v>
      </c>
      <c r="H5" s="414" t="s">
        <v>474</v>
      </c>
      <c r="I5" s="630">
        <v>20307700404</v>
      </c>
      <c r="J5" s="724"/>
      <c r="L5" s="728">
        <f>SUMIF(T198_TB!$E:$E,TB!B5,T198_TB!$L:$L)</f>
        <v>20096531614</v>
      </c>
      <c r="M5" s="726">
        <f t="shared" si="0"/>
        <v>211168790</v>
      </c>
    </row>
    <row r="6" spans="1:13">
      <c r="A6" s="727" t="s">
        <v>633</v>
      </c>
      <c r="B6" s="703">
        <v>1202</v>
      </c>
      <c r="C6" s="629" t="s">
        <v>638</v>
      </c>
      <c r="D6" s="414">
        <v>1000</v>
      </c>
      <c r="E6" s="414"/>
      <c r="F6" s="414" t="s">
        <v>474</v>
      </c>
      <c r="G6" s="211">
        <v>-2063837928</v>
      </c>
      <c r="H6" s="414" t="s">
        <v>474</v>
      </c>
      <c r="I6" s="630">
        <v>-2063837928</v>
      </c>
      <c r="J6" s="724"/>
      <c r="L6" s="728">
        <f>SUMIF(T198_TB!$E:$E,TB!B6,T198_TB!$L:$L)</f>
        <v>-1403629730</v>
      </c>
      <c r="M6" s="726">
        <f t="shared" si="0"/>
        <v>-660208198</v>
      </c>
    </row>
    <row r="7" spans="1:13">
      <c r="A7" s="727" t="s">
        <v>633</v>
      </c>
      <c r="B7" s="703">
        <v>1203</v>
      </c>
      <c r="C7" s="629" t="s">
        <v>639</v>
      </c>
      <c r="D7" s="414">
        <v>1000</v>
      </c>
      <c r="E7" s="414"/>
      <c r="F7" s="414" t="s">
        <v>474</v>
      </c>
      <c r="G7" s="211">
        <v>5519317523</v>
      </c>
      <c r="H7" s="414" t="s">
        <v>474</v>
      </c>
      <c r="I7" s="630">
        <v>5519317523</v>
      </c>
      <c r="J7" s="724"/>
      <c r="L7" s="728">
        <f>SUMIF(T198_TB!$E:$E,TB!B7,T198_TB!$L:$L)</f>
        <v>3334181925</v>
      </c>
      <c r="M7" s="726">
        <f t="shared" si="0"/>
        <v>2185135598</v>
      </c>
    </row>
    <row r="8" spans="1:13">
      <c r="A8" s="727" t="s">
        <v>633</v>
      </c>
      <c r="B8" s="703">
        <v>2322</v>
      </c>
      <c r="C8" s="629" t="s">
        <v>1815</v>
      </c>
      <c r="D8" s="414">
        <v>1000</v>
      </c>
      <c r="E8" s="414"/>
      <c r="F8" s="414" t="s">
        <v>474</v>
      </c>
      <c r="G8" s="211">
        <v>0</v>
      </c>
      <c r="H8" s="414" t="s">
        <v>474</v>
      </c>
      <c r="I8" s="630">
        <v>0</v>
      </c>
      <c r="J8" s="724"/>
      <c r="L8" s="728">
        <f>SUMIF(T198_TB!$E:$E,TB!B8,T198_TB!$L:$L)</f>
        <v>0</v>
      </c>
      <c r="M8" s="726" t="str">
        <f t="shared" si="0"/>
        <v>TRUE</v>
      </c>
    </row>
    <row r="9" spans="1:13">
      <c r="A9" s="727" t="s">
        <v>633</v>
      </c>
      <c r="B9" s="703">
        <v>2321</v>
      </c>
      <c r="C9" s="629" t="s">
        <v>1814</v>
      </c>
      <c r="D9" s="414">
        <v>1000</v>
      </c>
      <c r="E9" s="414"/>
      <c r="F9" s="414" t="s">
        <v>474</v>
      </c>
      <c r="G9" s="211">
        <v>0</v>
      </c>
      <c r="H9" s="414" t="s">
        <v>474</v>
      </c>
      <c r="I9" s="630">
        <v>0</v>
      </c>
      <c r="J9" s="724"/>
      <c r="L9" s="728">
        <f>SUMIF(T198_TB!$E:$E,TB!B9,T198_TB!$L:$L)</f>
        <v>0</v>
      </c>
      <c r="M9" s="726" t="str">
        <f t="shared" si="0"/>
        <v>TRUE</v>
      </c>
    </row>
    <row r="10" spans="1:13">
      <c r="A10" s="727" t="s">
        <v>633</v>
      </c>
      <c r="B10" s="703">
        <v>1221</v>
      </c>
      <c r="C10" s="629" t="s">
        <v>2017</v>
      </c>
      <c r="D10" s="414">
        <v>1000</v>
      </c>
      <c r="E10" s="414"/>
      <c r="F10" s="414" t="s">
        <v>474</v>
      </c>
      <c r="G10" s="211">
        <v>352050000</v>
      </c>
      <c r="H10" s="414" t="s">
        <v>474</v>
      </c>
      <c r="I10" s="630">
        <v>352050000</v>
      </c>
      <c r="J10" s="724"/>
      <c r="L10" s="728">
        <f>SUMIF(T198_TB!$E:$E,TB!B10,T198_TB!$L:$L)</f>
        <v>0</v>
      </c>
      <c r="M10" s="726">
        <f t="shared" si="0"/>
        <v>352050000</v>
      </c>
    </row>
    <row r="11" spans="1:13">
      <c r="A11" s="727" t="s">
        <v>633</v>
      </c>
      <c r="B11" s="703">
        <v>2311</v>
      </c>
      <c r="C11" s="629" t="s">
        <v>1804</v>
      </c>
      <c r="D11" s="414">
        <v>1000</v>
      </c>
      <c r="E11" s="414"/>
      <c r="F11" s="414" t="s">
        <v>474</v>
      </c>
      <c r="G11" s="211">
        <v>0</v>
      </c>
      <c r="H11" s="414" t="s">
        <v>474</v>
      </c>
      <c r="I11" s="630">
        <v>0</v>
      </c>
      <c r="J11" s="724"/>
      <c r="L11" s="728">
        <f>SUMIF(T198_TB!$E:$E,TB!B11,T198_TB!$L:$L)</f>
        <v>0</v>
      </c>
      <c r="M11" s="726" t="str">
        <f t="shared" si="0"/>
        <v>TRUE</v>
      </c>
    </row>
    <row r="12" spans="1:13">
      <c r="A12" s="727" t="s">
        <v>633</v>
      </c>
      <c r="B12" s="703">
        <v>4104</v>
      </c>
      <c r="C12" s="632" t="s">
        <v>1805</v>
      </c>
      <c r="D12" s="414">
        <v>1000</v>
      </c>
      <c r="E12" s="414"/>
      <c r="F12" s="414" t="s">
        <v>474</v>
      </c>
      <c r="G12" s="211">
        <v>-106915200</v>
      </c>
      <c r="H12" s="414" t="s">
        <v>474</v>
      </c>
      <c r="I12" s="630">
        <v>-106915200</v>
      </c>
      <c r="J12" s="724"/>
      <c r="L12" s="728">
        <f>SUMIF(T198_TB!$E:$E,TB!B12,T198_TB!$L:$L)</f>
        <v>-222809200</v>
      </c>
      <c r="M12" s="726">
        <f t="shared" si="0"/>
        <v>115894000</v>
      </c>
    </row>
    <row r="13" spans="1:13">
      <c r="A13" s="727" t="s">
        <v>633</v>
      </c>
      <c r="B13" s="703">
        <v>1208</v>
      </c>
      <c r="C13" s="629" t="s">
        <v>640</v>
      </c>
      <c r="D13" s="414">
        <v>1000</v>
      </c>
      <c r="E13" s="414"/>
      <c r="F13" s="414" t="s">
        <v>474</v>
      </c>
      <c r="G13" s="211">
        <v>21382321396</v>
      </c>
      <c r="H13" s="414" t="s">
        <v>474</v>
      </c>
      <c r="I13" s="630">
        <v>21382321396</v>
      </c>
      <c r="J13" s="724"/>
      <c r="L13" s="728">
        <f>SUMIF(T198_TB!$E:$E,TB!B13,T198_TB!$L:$L)</f>
        <v>23124643559</v>
      </c>
      <c r="M13" s="726">
        <f t="shared" si="0"/>
        <v>-1742322163</v>
      </c>
    </row>
    <row r="14" spans="1:13">
      <c r="A14" s="727" t="s">
        <v>633</v>
      </c>
      <c r="B14" s="703">
        <v>1209</v>
      </c>
      <c r="C14" s="629" t="s">
        <v>1901</v>
      </c>
      <c r="D14" s="414">
        <v>1000</v>
      </c>
      <c r="E14" s="414"/>
      <c r="F14" s="414" t="s">
        <v>474</v>
      </c>
      <c r="G14" s="211">
        <v>0</v>
      </c>
      <c r="H14" s="414" t="s">
        <v>474</v>
      </c>
      <c r="I14" s="630">
        <v>0</v>
      </c>
      <c r="J14" s="724"/>
      <c r="L14" s="728">
        <f>SUMIF(T198_TB!$E:$E,TB!B14,T198_TB!$L:$L)</f>
        <v>-4200000000</v>
      </c>
      <c r="M14" s="726">
        <f t="shared" si="0"/>
        <v>4200000000</v>
      </c>
    </row>
    <row r="15" spans="1:13">
      <c r="A15" s="727" t="s">
        <v>633</v>
      </c>
      <c r="B15" s="703">
        <v>2650</v>
      </c>
      <c r="C15" s="629" t="s">
        <v>1894</v>
      </c>
      <c r="D15" s="414">
        <v>1000</v>
      </c>
      <c r="E15" s="414"/>
      <c r="F15" s="414" t="s">
        <v>474</v>
      </c>
      <c r="G15" s="211">
        <v>55315563</v>
      </c>
      <c r="H15" s="414" t="s">
        <v>474</v>
      </c>
      <c r="I15" s="630">
        <v>55315563</v>
      </c>
      <c r="J15" s="724"/>
      <c r="L15" s="728">
        <f>SUMIF(T198_TB!$E:$E,TB!B15,T198_TB!$L:$L)</f>
        <v>0</v>
      </c>
      <c r="M15" s="726">
        <f t="shared" si="0"/>
        <v>55315563</v>
      </c>
    </row>
    <row r="16" spans="1:13">
      <c r="A16" s="727" t="s">
        <v>633</v>
      </c>
      <c r="B16" s="703">
        <v>1212</v>
      </c>
      <c r="C16" s="629" t="s">
        <v>36</v>
      </c>
      <c r="D16" s="414">
        <v>1000</v>
      </c>
      <c r="E16" s="414"/>
      <c r="F16" s="414" t="s">
        <v>474</v>
      </c>
      <c r="G16" s="211">
        <v>27066208</v>
      </c>
      <c r="H16" s="414" t="s">
        <v>474</v>
      </c>
      <c r="I16" s="630">
        <v>27066208</v>
      </c>
      <c r="J16" s="724"/>
      <c r="L16" s="728">
        <f>SUMIF(T198_TB!$E:$E,TB!B16,T198_TB!$L:$L)</f>
        <v>6040983</v>
      </c>
      <c r="M16" s="726">
        <f t="shared" si="0"/>
        <v>21025225</v>
      </c>
    </row>
    <row r="17" spans="1:13">
      <c r="A17" s="727" t="s">
        <v>633</v>
      </c>
      <c r="B17" s="703">
        <v>1601</v>
      </c>
      <c r="C17" s="629" t="s">
        <v>641</v>
      </c>
      <c r="D17" s="414">
        <v>1000</v>
      </c>
      <c r="E17" s="414"/>
      <c r="F17" s="414" t="s">
        <v>474</v>
      </c>
      <c r="G17" s="211">
        <v>3100479529</v>
      </c>
      <c r="H17" s="414" t="s">
        <v>474</v>
      </c>
      <c r="I17" s="630">
        <v>3100479529</v>
      </c>
      <c r="J17" s="724"/>
      <c r="L17" s="728">
        <f>SUMIF(T198_TB!$E:$E,TB!B17,T198_TB!$L:$L)</f>
        <v>1753431223</v>
      </c>
      <c r="M17" s="726">
        <f t="shared" si="0"/>
        <v>1347048306</v>
      </c>
    </row>
    <row r="18" spans="1:13">
      <c r="A18" s="727" t="s">
        <v>633</v>
      </c>
      <c r="B18" s="703">
        <v>1605</v>
      </c>
      <c r="C18" s="629" t="s">
        <v>642</v>
      </c>
      <c r="D18" s="414">
        <v>1000</v>
      </c>
      <c r="E18" s="414"/>
      <c r="F18" s="414" t="s">
        <v>474</v>
      </c>
      <c r="G18" s="211">
        <v>2109855131</v>
      </c>
      <c r="H18" s="414" t="s">
        <v>474</v>
      </c>
      <c r="I18" s="630">
        <v>2109855131</v>
      </c>
      <c r="J18" s="724"/>
      <c r="L18" s="728">
        <f>SUMIF(T198_TB!$E:$E,TB!B18,T198_TB!$L:$L)</f>
        <v>1203258040</v>
      </c>
      <c r="M18" s="726">
        <f t="shared" si="0"/>
        <v>906597091</v>
      </c>
    </row>
    <row r="19" spans="1:13">
      <c r="A19" s="727" t="s">
        <v>633</v>
      </c>
      <c r="B19" s="703">
        <v>1401</v>
      </c>
      <c r="C19" s="629" t="s">
        <v>54</v>
      </c>
      <c r="D19" s="414">
        <v>1000</v>
      </c>
      <c r="E19" s="414"/>
      <c r="F19" s="414" t="s">
        <v>474</v>
      </c>
      <c r="G19" s="211">
        <v>232596928</v>
      </c>
      <c r="H19" s="414" t="s">
        <v>474</v>
      </c>
      <c r="I19" s="630">
        <v>232596928</v>
      </c>
      <c r="J19" s="724"/>
      <c r="L19" s="728">
        <f>SUMIF(T198_TB!$E:$E,TB!B19,T198_TB!$L:$L)</f>
        <v>226315893</v>
      </c>
      <c r="M19" s="726">
        <f t="shared" si="0"/>
        <v>6281035</v>
      </c>
    </row>
    <row r="20" spans="1:13">
      <c r="A20" s="727" t="s">
        <v>633</v>
      </c>
      <c r="B20" s="703">
        <v>1301</v>
      </c>
      <c r="C20" s="629" t="s">
        <v>43</v>
      </c>
      <c r="D20" s="414">
        <v>1000</v>
      </c>
      <c r="E20" s="414"/>
      <c r="F20" s="414" t="s">
        <v>474</v>
      </c>
      <c r="G20" s="211">
        <v>10226309654</v>
      </c>
      <c r="H20" s="414" t="s">
        <v>474</v>
      </c>
      <c r="I20" s="630">
        <v>10226309654</v>
      </c>
      <c r="J20" s="724"/>
      <c r="L20" s="728">
        <f>SUMIF(T198_TB!$E:$E,TB!B20,T198_TB!$L:$L)</f>
        <v>9553713376</v>
      </c>
      <c r="M20" s="726">
        <f t="shared" si="0"/>
        <v>672596278</v>
      </c>
    </row>
    <row r="21" spans="1:13">
      <c r="A21" s="727" t="s">
        <v>633</v>
      </c>
      <c r="B21" s="703">
        <v>1302</v>
      </c>
      <c r="C21" s="629" t="s">
        <v>44</v>
      </c>
      <c r="D21" s="414">
        <v>1000</v>
      </c>
      <c r="E21" s="414"/>
      <c r="F21" s="414" t="s">
        <v>474</v>
      </c>
      <c r="G21" s="211">
        <v>-7390353471</v>
      </c>
      <c r="H21" s="414" t="s">
        <v>474</v>
      </c>
      <c r="I21" s="630">
        <v>-7390353471</v>
      </c>
      <c r="J21" s="724"/>
      <c r="L21" s="728">
        <f>SUMIF(T198_TB!$E:$E,TB!B21,T198_TB!$L:$L)</f>
        <v>-7972135418</v>
      </c>
      <c r="M21" s="726">
        <f t="shared" si="0"/>
        <v>581781947</v>
      </c>
    </row>
    <row r="22" spans="1:13">
      <c r="A22" s="727" t="s">
        <v>633</v>
      </c>
      <c r="B22" s="703">
        <v>1303</v>
      </c>
      <c r="C22" s="629" t="s">
        <v>45</v>
      </c>
      <c r="D22" s="414">
        <v>1000</v>
      </c>
      <c r="E22" s="414"/>
      <c r="F22" s="414" t="s">
        <v>474</v>
      </c>
      <c r="G22" s="211">
        <v>3674363853</v>
      </c>
      <c r="H22" s="414" t="s">
        <v>474</v>
      </c>
      <c r="I22" s="630">
        <v>3674363853</v>
      </c>
      <c r="J22" s="724"/>
      <c r="L22" s="728">
        <f>SUMIF(T198_TB!$E:$E,TB!B22,T198_TB!$L:$L)</f>
        <v>2835908871</v>
      </c>
      <c r="M22" s="726">
        <f t="shared" si="0"/>
        <v>838454982</v>
      </c>
    </row>
    <row r="23" spans="1:13">
      <c r="A23" s="727" t="s">
        <v>633</v>
      </c>
      <c r="B23" s="703">
        <v>1304</v>
      </c>
      <c r="C23" s="629" t="s">
        <v>46</v>
      </c>
      <c r="D23" s="414">
        <v>1000</v>
      </c>
      <c r="E23" s="414"/>
      <c r="F23" s="414" t="s">
        <v>474</v>
      </c>
      <c r="G23" s="211">
        <v>-1778908795</v>
      </c>
      <c r="H23" s="414" t="s">
        <v>474</v>
      </c>
      <c r="I23" s="630">
        <v>-1778908795</v>
      </c>
      <c r="J23" s="724"/>
      <c r="L23" s="728">
        <f>SUMIF(T198_TB!$E:$E,TB!B23,T198_TB!$L:$L)</f>
        <v>-1878677843</v>
      </c>
      <c r="M23" s="726">
        <f t="shared" si="0"/>
        <v>99769048</v>
      </c>
    </row>
    <row r="24" spans="1:13">
      <c r="A24" s="727" t="s">
        <v>633</v>
      </c>
      <c r="B24" s="703">
        <v>1305</v>
      </c>
      <c r="C24" s="629" t="s">
        <v>47</v>
      </c>
      <c r="D24" s="414">
        <v>1000</v>
      </c>
      <c r="E24" s="414"/>
      <c r="F24" s="414" t="s">
        <v>474</v>
      </c>
      <c r="G24" s="211">
        <v>943669616</v>
      </c>
      <c r="H24" s="414" t="s">
        <v>474</v>
      </c>
      <c r="I24" s="630">
        <v>943669616</v>
      </c>
      <c r="J24" s="724"/>
      <c r="L24" s="728">
        <f>SUMIF(T198_TB!$E:$E,TB!B24,T198_TB!$L:$L)</f>
        <v>1157114968</v>
      </c>
      <c r="M24" s="726">
        <f t="shared" si="0"/>
        <v>-213445352</v>
      </c>
    </row>
    <row r="25" spans="1:13">
      <c r="A25" s="727" t="s">
        <v>633</v>
      </c>
      <c r="B25" s="703">
        <v>1306</v>
      </c>
      <c r="C25" s="629" t="s">
        <v>48</v>
      </c>
      <c r="D25" s="414">
        <v>1000</v>
      </c>
      <c r="E25" s="414"/>
      <c r="F25" s="414" t="s">
        <v>474</v>
      </c>
      <c r="G25" s="211">
        <v>-669016452</v>
      </c>
      <c r="H25" s="414" t="s">
        <v>474</v>
      </c>
      <c r="I25" s="630">
        <v>-669016452</v>
      </c>
      <c r="J25" s="724"/>
      <c r="L25" s="728">
        <f>SUMIF(T198_TB!$E:$E,TB!B25,T198_TB!$L:$L)</f>
        <v>-818267363</v>
      </c>
      <c r="M25" s="726">
        <f t="shared" si="0"/>
        <v>149250911</v>
      </c>
    </row>
    <row r="26" spans="1:13">
      <c r="A26" s="727" t="s">
        <v>633</v>
      </c>
      <c r="B26" s="703">
        <v>1307</v>
      </c>
      <c r="C26" s="629" t="s">
        <v>49</v>
      </c>
      <c r="D26" s="414">
        <v>1000</v>
      </c>
      <c r="E26" s="414"/>
      <c r="F26" s="414" t="s">
        <v>474</v>
      </c>
      <c r="G26" s="211">
        <v>9365336922</v>
      </c>
      <c r="H26" s="414" t="s">
        <v>474</v>
      </c>
      <c r="I26" s="630">
        <v>9365336922</v>
      </c>
      <c r="J26" s="724"/>
      <c r="L26" s="728">
        <f>SUMIF(T198_TB!$E:$E,TB!B26,T198_TB!$L:$L)</f>
        <v>8663381877</v>
      </c>
      <c r="M26" s="726">
        <f t="shared" si="0"/>
        <v>701955045</v>
      </c>
    </row>
    <row r="27" spans="1:13">
      <c r="A27" s="727" t="s">
        <v>633</v>
      </c>
      <c r="B27" s="703">
        <v>1308</v>
      </c>
      <c r="C27" s="629" t="s">
        <v>50</v>
      </c>
      <c r="D27" s="414">
        <v>1000</v>
      </c>
      <c r="E27" s="414"/>
      <c r="F27" s="414" t="s">
        <v>474</v>
      </c>
      <c r="G27" s="211">
        <v>-7475833463</v>
      </c>
      <c r="H27" s="414" t="s">
        <v>474</v>
      </c>
      <c r="I27" s="630">
        <v>-7475833463</v>
      </c>
      <c r="J27" s="724"/>
      <c r="L27" s="728">
        <f>SUMIF(T198_TB!$E:$E,TB!B27,T198_TB!$L:$L)</f>
        <v>-6904841410</v>
      </c>
      <c r="M27" s="726">
        <f t="shared" si="0"/>
        <v>-570992053</v>
      </c>
    </row>
    <row r="28" spans="1:13">
      <c r="A28" s="727" t="s">
        <v>633</v>
      </c>
      <c r="B28" s="703">
        <v>2701</v>
      </c>
      <c r="C28" s="629" t="s">
        <v>101</v>
      </c>
      <c r="D28" s="414">
        <v>1000</v>
      </c>
      <c r="E28" s="414"/>
      <c r="F28" s="414" t="s">
        <v>474</v>
      </c>
      <c r="G28" s="211">
        <v>5473422543</v>
      </c>
      <c r="H28" s="414" t="s">
        <v>474</v>
      </c>
      <c r="I28" s="630">
        <v>5473422543</v>
      </c>
      <c r="J28" s="724"/>
      <c r="L28" s="728">
        <f>SUMIF(T198_TB!$E:$E,TB!B28,T198_TB!$L:$L)</f>
        <v>9322147241</v>
      </c>
      <c r="M28" s="726">
        <f t="shared" si="0"/>
        <v>-3848724698</v>
      </c>
    </row>
    <row r="29" spans="1:13">
      <c r="A29" s="727" t="s">
        <v>633</v>
      </c>
      <c r="B29" s="703">
        <v>2702</v>
      </c>
      <c r="C29" s="629" t="s">
        <v>1644</v>
      </c>
      <c r="D29" s="414">
        <v>1000</v>
      </c>
      <c r="E29" s="414"/>
      <c r="F29" s="414" t="s">
        <v>474</v>
      </c>
      <c r="G29" s="211">
        <v>-3861813517</v>
      </c>
      <c r="H29" s="414" t="s">
        <v>474</v>
      </c>
      <c r="I29" s="630">
        <v>-3861813517</v>
      </c>
      <c r="J29" s="724"/>
      <c r="L29" s="728">
        <f>SUMIF(T198_TB!$E:$E,TB!B29,T198_TB!$L:$L)</f>
        <v>-4167328017</v>
      </c>
      <c r="M29" s="726">
        <f t="shared" si="0"/>
        <v>305514500</v>
      </c>
    </row>
    <row r="30" spans="1:13">
      <c r="A30" s="727" t="s">
        <v>633</v>
      </c>
      <c r="B30" s="703">
        <v>2801</v>
      </c>
      <c r="C30" s="632" t="s">
        <v>103</v>
      </c>
      <c r="D30" s="414">
        <v>1000</v>
      </c>
      <c r="E30" s="414"/>
      <c r="F30" s="414" t="s">
        <v>474</v>
      </c>
      <c r="G30" s="211">
        <v>96167436</v>
      </c>
      <c r="H30" s="414" t="s">
        <v>474</v>
      </c>
      <c r="I30" s="630">
        <v>96167436</v>
      </c>
      <c r="J30" s="724"/>
      <c r="L30" s="728">
        <f>SUMIF(T198_TB!$E:$E,TB!B30,T198_TB!$L:$L)</f>
        <v>96167436</v>
      </c>
      <c r="M30" s="726" t="str">
        <f t="shared" si="0"/>
        <v>TRUE</v>
      </c>
    </row>
    <row r="31" spans="1:13">
      <c r="A31" s="727" t="s">
        <v>633</v>
      </c>
      <c r="B31" s="703">
        <v>2802</v>
      </c>
      <c r="C31" s="632" t="s">
        <v>1645</v>
      </c>
      <c r="D31" s="414">
        <v>1000</v>
      </c>
      <c r="E31" s="414"/>
      <c r="F31" s="414" t="s">
        <v>474</v>
      </c>
      <c r="G31" s="211">
        <v>-60693903</v>
      </c>
      <c r="H31" s="414" t="s">
        <v>474</v>
      </c>
      <c r="I31" s="630">
        <v>-60693903</v>
      </c>
      <c r="J31" s="724"/>
      <c r="L31" s="728">
        <f>SUMIF(T198_TB!$E:$E,TB!B31,T198_TB!$L:$L)</f>
        <v>-69983529</v>
      </c>
      <c r="M31" s="726">
        <f t="shared" si="0"/>
        <v>9289626</v>
      </c>
    </row>
    <row r="32" spans="1:13">
      <c r="A32" s="727" t="s">
        <v>633</v>
      </c>
      <c r="B32" s="703">
        <v>2401</v>
      </c>
      <c r="C32" s="632" t="s">
        <v>84</v>
      </c>
      <c r="D32" s="414">
        <v>1000</v>
      </c>
      <c r="E32" s="414"/>
      <c r="F32" s="414" t="s">
        <v>474</v>
      </c>
      <c r="G32" s="211">
        <v>31456249</v>
      </c>
      <c r="H32" s="414" t="s">
        <v>474</v>
      </c>
      <c r="I32" s="630">
        <v>31456249</v>
      </c>
      <c r="J32" s="724"/>
      <c r="L32" s="728">
        <f>SUMIF(T198_TB!$E:$E,TB!B32,T198_TB!$L:$L)</f>
        <v>31456249</v>
      </c>
      <c r="M32" s="726" t="str">
        <f t="shared" si="0"/>
        <v>TRUE</v>
      </c>
    </row>
    <row r="33" spans="1:13">
      <c r="A33" s="727" t="s">
        <v>633</v>
      </c>
      <c r="B33" s="703">
        <v>2402</v>
      </c>
      <c r="C33" s="632" t="s">
        <v>643</v>
      </c>
      <c r="D33" s="414">
        <v>1000</v>
      </c>
      <c r="E33" s="414"/>
      <c r="F33" s="414" t="s">
        <v>474</v>
      </c>
      <c r="G33" s="211">
        <v>-23828999</v>
      </c>
      <c r="H33" s="414" t="s">
        <v>474</v>
      </c>
      <c r="I33" s="630">
        <v>-23828999</v>
      </c>
      <c r="J33" s="724"/>
      <c r="L33" s="728">
        <f>SUMIF(T198_TB!$E:$E,TB!B33,T198_TB!$L:$L)</f>
        <v>-24297186</v>
      </c>
      <c r="M33" s="726">
        <f t="shared" si="0"/>
        <v>468187</v>
      </c>
    </row>
    <row r="34" spans="1:13">
      <c r="A34" s="727" t="s">
        <v>633</v>
      </c>
      <c r="B34" s="703">
        <v>2404</v>
      </c>
      <c r="C34" s="632" t="s">
        <v>86</v>
      </c>
      <c r="D34" s="414">
        <v>1000</v>
      </c>
      <c r="E34" s="414"/>
      <c r="F34" s="414" t="s">
        <v>474</v>
      </c>
      <c r="G34" s="211">
        <v>209637249</v>
      </c>
      <c r="H34" s="414" t="s">
        <v>474</v>
      </c>
      <c r="I34" s="630">
        <v>209637249</v>
      </c>
      <c r="J34" s="724"/>
      <c r="L34" s="728">
        <f>SUMIF(T198_TB!$E:$E,TB!B34,T198_TB!$L:$L)</f>
        <v>209637249</v>
      </c>
      <c r="M34" s="726" t="str">
        <f t="shared" si="0"/>
        <v>TRUE</v>
      </c>
    </row>
    <row r="35" spans="1:13">
      <c r="A35" s="727" t="s">
        <v>633</v>
      </c>
      <c r="B35" s="703">
        <v>2405</v>
      </c>
      <c r="C35" s="629" t="s">
        <v>644</v>
      </c>
      <c r="D35" s="414">
        <v>1000</v>
      </c>
      <c r="E35" s="414"/>
      <c r="F35" s="414" t="s">
        <v>474</v>
      </c>
      <c r="G35" s="211">
        <v>-124040455</v>
      </c>
      <c r="H35" s="414" t="s">
        <v>474</v>
      </c>
      <c r="I35" s="630">
        <v>-124040455</v>
      </c>
      <c r="J35" s="724"/>
      <c r="L35" s="728">
        <f>SUMIF(T198_TB!$E:$E,TB!B35,T198_TB!$L:$L)</f>
        <v>-128877898</v>
      </c>
      <c r="M35" s="726">
        <f t="shared" si="0"/>
        <v>4837443</v>
      </c>
    </row>
    <row r="36" spans="1:13">
      <c r="A36" s="727" t="s">
        <v>633</v>
      </c>
      <c r="B36" s="703">
        <v>2406</v>
      </c>
      <c r="C36" s="629" t="s">
        <v>645</v>
      </c>
      <c r="D36" s="414">
        <v>1000</v>
      </c>
      <c r="E36" s="414"/>
      <c r="F36" s="414" t="s">
        <v>474</v>
      </c>
      <c r="G36" s="211">
        <v>-19482073</v>
      </c>
      <c r="H36" s="414" t="s">
        <v>474</v>
      </c>
      <c r="I36" s="630">
        <v>-19482073</v>
      </c>
      <c r="J36" s="724"/>
      <c r="L36" s="728">
        <f>SUMIF(T198_TB!$E:$E,TB!B36,T198_TB!$L:$L)</f>
        <v>-19482073</v>
      </c>
      <c r="M36" s="726" t="str">
        <f t="shared" si="0"/>
        <v>TRUE</v>
      </c>
    </row>
    <row r="37" spans="1:13">
      <c r="A37" s="727" t="s">
        <v>633</v>
      </c>
      <c r="B37" s="703">
        <v>2407</v>
      </c>
      <c r="C37" s="629" t="s">
        <v>89</v>
      </c>
      <c r="D37" s="414">
        <v>1000</v>
      </c>
      <c r="E37" s="414"/>
      <c r="F37" s="414" t="s">
        <v>474</v>
      </c>
      <c r="G37" s="211">
        <v>4701190665</v>
      </c>
      <c r="H37" s="414" t="s">
        <v>474</v>
      </c>
      <c r="I37" s="630">
        <v>4701190665</v>
      </c>
      <c r="J37" s="724"/>
      <c r="L37" s="728">
        <f>SUMIF(T198_TB!$E:$E,TB!B37,T198_TB!$L:$L)</f>
        <v>3484648565</v>
      </c>
      <c r="M37" s="726">
        <f t="shared" si="0"/>
        <v>1216542100</v>
      </c>
    </row>
    <row r="38" spans="1:13">
      <c r="A38" s="727" t="s">
        <v>633</v>
      </c>
      <c r="B38" s="703">
        <v>2408</v>
      </c>
      <c r="C38" s="629" t="s">
        <v>646</v>
      </c>
      <c r="D38" s="414">
        <v>1000</v>
      </c>
      <c r="E38" s="414"/>
      <c r="F38" s="414" t="s">
        <v>474</v>
      </c>
      <c r="G38" s="211">
        <v>-3828386189</v>
      </c>
      <c r="H38" s="414" t="s">
        <v>474</v>
      </c>
      <c r="I38" s="630">
        <v>-3828386189</v>
      </c>
      <c r="J38" s="724"/>
      <c r="L38" s="728">
        <f>SUMIF(T198_TB!$E:$E,TB!B38,T198_TB!$L:$L)</f>
        <v>-2782115971</v>
      </c>
      <c r="M38" s="726">
        <f t="shared" si="0"/>
        <v>-1046270218</v>
      </c>
    </row>
    <row r="39" spans="1:13">
      <c r="A39" s="727" t="s">
        <v>633</v>
      </c>
      <c r="B39" s="703">
        <v>2409</v>
      </c>
      <c r="C39" s="629" t="s">
        <v>647</v>
      </c>
      <c r="D39" s="414">
        <v>1000</v>
      </c>
      <c r="E39" s="414"/>
      <c r="F39" s="414" t="s">
        <v>474</v>
      </c>
      <c r="G39" s="211">
        <v>-258088071</v>
      </c>
      <c r="H39" s="414" t="s">
        <v>474</v>
      </c>
      <c r="I39" s="630">
        <v>-258088071</v>
      </c>
      <c r="J39" s="724"/>
      <c r="L39" s="728">
        <f>SUMIF(T198_TB!$E:$E,TB!B39,T198_TB!$L:$L)</f>
        <v>-203463068</v>
      </c>
      <c r="M39" s="726">
        <f t="shared" si="0"/>
        <v>-54625003</v>
      </c>
    </row>
    <row r="40" spans="1:13">
      <c r="A40" s="727" t="s">
        <v>633</v>
      </c>
      <c r="B40" s="703">
        <v>2413</v>
      </c>
      <c r="C40" s="629" t="s">
        <v>95</v>
      </c>
      <c r="D40" s="414">
        <v>1000</v>
      </c>
      <c r="E40" s="414"/>
      <c r="F40" s="414" t="s">
        <v>474</v>
      </c>
      <c r="G40" s="211">
        <v>7414148656</v>
      </c>
      <c r="H40" s="414" t="s">
        <v>474</v>
      </c>
      <c r="I40" s="630">
        <v>7414148656</v>
      </c>
      <c r="J40" s="724"/>
      <c r="L40" s="728">
        <f>SUMIF(T198_TB!$E:$E,TB!B40,T198_TB!$L:$L)</f>
        <v>7546376968</v>
      </c>
      <c r="M40" s="726">
        <f t="shared" si="0"/>
        <v>-132228312</v>
      </c>
    </row>
    <row r="41" spans="1:13">
      <c r="A41" s="727" t="s">
        <v>633</v>
      </c>
      <c r="B41" s="703">
        <v>2414</v>
      </c>
      <c r="C41" s="629" t="s">
        <v>648</v>
      </c>
      <c r="D41" s="414">
        <v>1000</v>
      </c>
      <c r="E41" s="414"/>
      <c r="F41" s="414" t="s">
        <v>474</v>
      </c>
      <c r="G41" s="211">
        <v>-3630485026</v>
      </c>
      <c r="H41" s="414" t="s">
        <v>474</v>
      </c>
      <c r="I41" s="630">
        <v>-3630485026</v>
      </c>
      <c r="J41" s="724"/>
      <c r="L41" s="728">
        <f>SUMIF(T198_TB!$E:$E,TB!B41,T198_TB!$L:$L)</f>
        <v>-3740984816</v>
      </c>
      <c r="M41" s="726">
        <f t="shared" si="0"/>
        <v>110499790</v>
      </c>
    </row>
    <row r="42" spans="1:13">
      <c r="A42" s="727" t="s">
        <v>633</v>
      </c>
      <c r="B42" s="703">
        <v>2415</v>
      </c>
      <c r="C42" s="629" t="s">
        <v>649</v>
      </c>
      <c r="D42" s="414">
        <v>1000</v>
      </c>
      <c r="E42" s="414"/>
      <c r="F42" s="414" t="s">
        <v>474</v>
      </c>
      <c r="G42" s="211">
        <v>-2242592169</v>
      </c>
      <c r="H42" s="414" t="s">
        <v>474</v>
      </c>
      <c r="I42" s="630">
        <v>-2242592169</v>
      </c>
      <c r="J42" s="724"/>
      <c r="L42" s="728">
        <f>SUMIF(T198_TB!$E:$E,TB!B42,T198_TB!$L:$L)</f>
        <v>-2242592169</v>
      </c>
      <c r="M42" s="726" t="str">
        <f t="shared" si="0"/>
        <v>TRUE</v>
      </c>
    </row>
    <row r="43" spans="1:13">
      <c r="A43" s="727" t="s">
        <v>633</v>
      </c>
      <c r="B43" s="703">
        <v>2419</v>
      </c>
      <c r="C43" s="629" t="s">
        <v>534</v>
      </c>
      <c r="D43" s="414">
        <v>1000</v>
      </c>
      <c r="E43" s="414"/>
      <c r="F43" s="414" t="s">
        <v>474</v>
      </c>
      <c r="G43" s="211">
        <v>22500000</v>
      </c>
      <c r="H43" s="414" t="s">
        <v>474</v>
      </c>
      <c r="I43" s="630">
        <v>22500000</v>
      </c>
      <c r="J43" s="724"/>
      <c r="L43" s="728">
        <f>SUMIF(T198_TB!$E:$E,TB!B43,T198_TB!$L:$L)</f>
        <v>102390000</v>
      </c>
      <c r="M43" s="726">
        <f t="shared" si="0"/>
        <v>-79890000</v>
      </c>
    </row>
    <row r="44" spans="1:13">
      <c r="A44" s="727" t="s">
        <v>633</v>
      </c>
      <c r="B44" s="703">
        <v>2501</v>
      </c>
      <c r="C44" s="629" t="s">
        <v>650</v>
      </c>
      <c r="D44" s="414">
        <v>1000</v>
      </c>
      <c r="E44" s="414"/>
      <c r="F44" s="414" t="s">
        <v>474</v>
      </c>
      <c r="G44" s="211">
        <v>708636193</v>
      </c>
      <c r="H44" s="414" t="s">
        <v>474</v>
      </c>
      <c r="I44" s="630">
        <v>708636193</v>
      </c>
      <c r="J44" s="724"/>
      <c r="L44" s="728">
        <f>SUMIF(T198_TB!$E:$E,TB!B44,T198_TB!$L:$L)</f>
        <v>671125227</v>
      </c>
      <c r="M44" s="726">
        <f t="shared" si="0"/>
        <v>37510966</v>
      </c>
    </row>
    <row r="45" spans="1:13">
      <c r="A45" s="727" t="s">
        <v>633</v>
      </c>
      <c r="B45" s="703">
        <v>2503</v>
      </c>
      <c r="C45" s="629" t="s">
        <v>110</v>
      </c>
      <c r="D45" s="414">
        <v>1000</v>
      </c>
      <c r="E45" s="414"/>
      <c r="F45" s="414" t="s">
        <v>474</v>
      </c>
      <c r="G45" s="211">
        <v>1315756304</v>
      </c>
      <c r="H45" s="414" t="s">
        <v>474</v>
      </c>
      <c r="I45" s="630">
        <v>1315756304</v>
      </c>
      <c r="J45" s="724"/>
      <c r="L45" s="728">
        <f>SUMIF(T198_TB!$E:$E,TB!B45,T198_TB!$L:$L)</f>
        <v>1048123256</v>
      </c>
      <c r="M45" s="726">
        <f t="shared" si="0"/>
        <v>267633048</v>
      </c>
    </row>
    <row r="46" spans="1:13">
      <c r="A46" s="727" t="s">
        <v>633</v>
      </c>
      <c r="B46" s="703">
        <v>2505</v>
      </c>
      <c r="C46" s="629" t="s">
        <v>123</v>
      </c>
      <c r="D46" s="414">
        <v>1000</v>
      </c>
      <c r="E46" s="414"/>
      <c r="F46" s="414" t="s">
        <v>474</v>
      </c>
      <c r="G46" s="211">
        <v>3609717053</v>
      </c>
      <c r="H46" s="414" t="s">
        <v>474</v>
      </c>
      <c r="I46" s="630">
        <v>3609717053</v>
      </c>
      <c r="J46" s="724"/>
      <c r="L46" s="728">
        <f>SUMIF(T198_TB!$E:$E,TB!B46,T198_TB!$L:$L)</f>
        <v>3477286244</v>
      </c>
      <c r="M46" s="726">
        <f t="shared" si="0"/>
        <v>132430809</v>
      </c>
    </row>
    <row r="47" spans="1:13">
      <c r="A47" s="727" t="s">
        <v>633</v>
      </c>
      <c r="B47" s="703">
        <v>2509</v>
      </c>
      <c r="C47" s="629" t="s">
        <v>2067</v>
      </c>
      <c r="D47" s="414">
        <v>1000</v>
      </c>
      <c r="E47" s="414"/>
      <c r="F47" s="414" t="s">
        <v>474</v>
      </c>
      <c r="G47" s="211">
        <v>462235490</v>
      </c>
      <c r="H47" s="414" t="s">
        <v>474</v>
      </c>
      <c r="I47" s="630">
        <v>462235490</v>
      </c>
      <c r="J47" s="724"/>
      <c r="L47" s="728">
        <f>SUMIF(T198_TB!$E:$E,TB!B47,T198_TB!$L:$L)</f>
        <v>462235490</v>
      </c>
      <c r="M47" s="726" t="str">
        <f t="shared" si="0"/>
        <v>TRUE</v>
      </c>
    </row>
    <row r="48" spans="1:13">
      <c r="A48" s="727" t="s">
        <v>633</v>
      </c>
      <c r="B48" s="703">
        <v>2507</v>
      </c>
      <c r="C48" s="629" t="s">
        <v>651</v>
      </c>
      <c r="D48" s="414">
        <v>1000</v>
      </c>
      <c r="E48" s="414"/>
      <c r="F48" s="414" t="s">
        <v>474</v>
      </c>
      <c r="G48" s="211">
        <v>11046983302</v>
      </c>
      <c r="H48" s="414" t="s">
        <v>474</v>
      </c>
      <c r="I48" s="630">
        <v>11046983302</v>
      </c>
      <c r="J48" s="724"/>
      <c r="L48" s="728">
        <f>SUMIF(T198_TB!$E:$E,TB!B48,T198_TB!$L:$L)</f>
        <v>5086224150</v>
      </c>
      <c r="M48" s="726">
        <f t="shared" si="0"/>
        <v>5960759152</v>
      </c>
    </row>
    <row r="49" spans="1:14">
      <c r="A49" s="727" t="s">
        <v>633</v>
      </c>
      <c r="B49" s="703">
        <v>2508</v>
      </c>
      <c r="C49" s="629" t="s">
        <v>129</v>
      </c>
      <c r="D49" s="414">
        <v>1000</v>
      </c>
      <c r="E49" s="414"/>
      <c r="F49" s="414" t="s">
        <v>474</v>
      </c>
      <c r="G49" s="211">
        <v>6710032272</v>
      </c>
      <c r="H49" s="414" t="s">
        <v>474</v>
      </c>
      <c r="I49" s="630">
        <v>6710032272</v>
      </c>
      <c r="J49" s="724"/>
      <c r="L49" s="728">
        <f>SUMIF(T198_TB!$E:$E,TB!B49,T198_TB!$L:$L)</f>
        <v>6115530186</v>
      </c>
      <c r="M49" s="726">
        <f t="shared" si="0"/>
        <v>594502086</v>
      </c>
    </row>
    <row r="50" spans="1:14">
      <c r="A50" s="727" t="s">
        <v>633</v>
      </c>
      <c r="B50" s="703">
        <v>1213</v>
      </c>
      <c r="C50" s="629" t="s">
        <v>37</v>
      </c>
      <c r="D50" s="414">
        <v>1000</v>
      </c>
      <c r="E50" s="414"/>
      <c r="F50" s="414" t="s">
        <v>474</v>
      </c>
      <c r="G50" s="211">
        <v>1426104363</v>
      </c>
      <c r="H50" s="414" t="s">
        <v>474</v>
      </c>
      <c r="I50" s="630">
        <v>1426104363</v>
      </c>
      <c r="J50" s="724"/>
      <c r="L50" s="728">
        <f>SUMIF(T198_TB!$E:$E,TB!B50,T198_TB!$L:$L)</f>
        <v>0</v>
      </c>
      <c r="M50" s="726">
        <f t="shared" si="0"/>
        <v>1426104363</v>
      </c>
    </row>
    <row r="51" spans="1:14">
      <c r="A51" s="727" t="s">
        <v>633</v>
      </c>
      <c r="B51" s="703" t="s">
        <v>2006</v>
      </c>
      <c r="C51" s="629" t="s">
        <v>75</v>
      </c>
      <c r="D51" s="414">
        <v>1000</v>
      </c>
      <c r="E51" s="414"/>
      <c r="F51" s="414" t="s">
        <v>474</v>
      </c>
      <c r="G51" s="211">
        <v>331906540</v>
      </c>
      <c r="H51" s="414" t="s">
        <v>474</v>
      </c>
      <c r="I51" s="630">
        <v>331906540</v>
      </c>
      <c r="J51" s="724"/>
      <c r="L51" s="728">
        <f>SUMIF(T198_TB!$E:$E,TB!B51,T198_TB!$L:$L)</f>
        <v>1808574340</v>
      </c>
      <c r="M51" s="726">
        <f t="shared" si="0"/>
        <v>-1476667800</v>
      </c>
    </row>
    <row r="52" spans="1:14">
      <c r="A52" s="727" t="s">
        <v>633</v>
      </c>
      <c r="B52" s="703">
        <v>2101</v>
      </c>
      <c r="C52" s="629" t="s">
        <v>2018</v>
      </c>
      <c r="D52" s="414">
        <v>1000</v>
      </c>
      <c r="E52" s="414"/>
      <c r="F52" s="414" t="s">
        <v>474</v>
      </c>
      <c r="G52" s="211">
        <v>1257560</v>
      </c>
      <c r="H52" s="414" t="s">
        <v>474</v>
      </c>
      <c r="I52" s="630">
        <v>1257560</v>
      </c>
      <c r="J52" s="724"/>
      <c r="L52" s="728">
        <f>SUMIF(T198_TB!$E:$E,TB!B52,T198_TB!$L:$L)</f>
        <v>1257560</v>
      </c>
      <c r="M52" s="726" t="str">
        <f t="shared" si="0"/>
        <v>TRUE</v>
      </c>
    </row>
    <row r="53" spans="1:14">
      <c r="A53" s="727" t="s">
        <v>633</v>
      </c>
      <c r="B53" s="703" t="s">
        <v>2007</v>
      </c>
      <c r="C53" s="629" t="s">
        <v>2019</v>
      </c>
      <c r="D53" s="414">
        <v>1000</v>
      </c>
      <c r="E53" s="414"/>
      <c r="F53" s="414" t="s">
        <v>474</v>
      </c>
      <c r="G53" s="211">
        <v>-21810731</v>
      </c>
      <c r="H53" s="414" t="s">
        <v>474</v>
      </c>
      <c r="I53" s="630">
        <v>-21810731</v>
      </c>
      <c r="J53" s="724"/>
      <c r="L53" s="728">
        <f>SUMIF(T198_TB!$E:$E,TB!B53,T198_TB!$L:$L)</f>
        <v>-159435455</v>
      </c>
      <c r="M53" s="726">
        <f t="shared" si="0"/>
        <v>137624724</v>
      </c>
    </row>
    <row r="54" spans="1:14">
      <c r="A54" s="727" t="s">
        <v>633</v>
      </c>
      <c r="B54" s="703">
        <v>2603</v>
      </c>
      <c r="C54" s="629" t="s">
        <v>1850</v>
      </c>
      <c r="D54" s="414">
        <v>1000</v>
      </c>
      <c r="E54" s="414"/>
      <c r="F54" s="414" t="s">
        <v>474</v>
      </c>
      <c r="G54" s="211">
        <v>996359683</v>
      </c>
      <c r="H54" s="414" t="s">
        <v>474</v>
      </c>
      <c r="I54" s="630">
        <v>996359683</v>
      </c>
      <c r="J54" s="724"/>
      <c r="L54" s="728">
        <f>SUMIF(T198_TB!$E:$E,TB!B54,T198_TB!$L:$L)</f>
        <v>0</v>
      </c>
      <c r="M54" s="726">
        <f t="shared" si="0"/>
        <v>996359683</v>
      </c>
    </row>
    <row r="55" spans="1:14">
      <c r="A55" s="727" t="s">
        <v>633</v>
      </c>
      <c r="B55" s="703">
        <v>2302</v>
      </c>
      <c r="C55" s="629" t="s">
        <v>136</v>
      </c>
      <c r="D55" s="414">
        <v>1000</v>
      </c>
      <c r="E55" s="414"/>
      <c r="F55" s="414" t="s">
        <v>474</v>
      </c>
      <c r="G55" s="211">
        <v>0</v>
      </c>
      <c r="H55" s="414" t="s">
        <v>474</v>
      </c>
      <c r="I55" s="630">
        <v>0</v>
      </c>
      <c r="J55" s="724"/>
      <c r="L55" s="728">
        <f>SUMIF(T198_TB!$E:$E,TB!B55,T198_TB!$L:$L)</f>
        <v>0</v>
      </c>
      <c r="M55" s="726" t="str">
        <f t="shared" si="0"/>
        <v>TRUE</v>
      </c>
    </row>
    <row r="56" spans="1:14">
      <c r="A56" s="727" t="s">
        <v>633</v>
      </c>
      <c r="B56" s="703" t="s">
        <v>2016</v>
      </c>
      <c r="C56" s="629" t="s">
        <v>1906</v>
      </c>
      <c r="D56" s="414">
        <v>1000</v>
      </c>
      <c r="E56" s="414"/>
      <c r="F56" s="414" t="s">
        <v>474</v>
      </c>
      <c r="G56" s="211">
        <v>0</v>
      </c>
      <c r="H56" s="414" t="s">
        <v>474</v>
      </c>
      <c r="I56" s="630">
        <v>0</v>
      </c>
      <c r="J56" s="724"/>
      <c r="L56" s="728">
        <f>SUMIF(T198_TB!$E:$E,TB!B56,T198_TB!$L:$L)</f>
        <v>0</v>
      </c>
      <c r="M56" s="726" t="str">
        <f t="shared" si="0"/>
        <v>TRUE</v>
      </c>
    </row>
    <row r="57" spans="1:14">
      <c r="A57" s="727" t="s">
        <v>633</v>
      </c>
      <c r="B57" s="703">
        <v>3101</v>
      </c>
      <c r="C57" s="629" t="s">
        <v>652</v>
      </c>
      <c r="D57" s="414">
        <v>1000</v>
      </c>
      <c r="E57" s="414"/>
      <c r="F57" s="414" t="s">
        <v>474</v>
      </c>
      <c r="G57" s="211">
        <v>-31099047717</v>
      </c>
      <c r="H57" s="414" t="s">
        <v>474</v>
      </c>
      <c r="I57" s="630">
        <v>-31099047717</v>
      </c>
      <c r="J57" s="724"/>
      <c r="L57" s="728">
        <f>SUMIF(T198_TB!$E:$E,TB!B57,T198_TB!$L:$L)</f>
        <v>-32668528967</v>
      </c>
      <c r="M57" s="726">
        <f t="shared" si="0"/>
        <v>1569481250</v>
      </c>
    </row>
    <row r="58" spans="1:14">
      <c r="A58" s="727" t="s">
        <v>633</v>
      </c>
      <c r="B58" s="703">
        <v>3405</v>
      </c>
      <c r="C58" s="629" t="s">
        <v>653</v>
      </c>
      <c r="D58" s="414">
        <v>1000</v>
      </c>
      <c r="E58" s="414"/>
      <c r="F58" s="414" t="s">
        <v>474</v>
      </c>
      <c r="G58" s="211">
        <v>0</v>
      </c>
      <c r="H58" s="414" t="s">
        <v>474</v>
      </c>
      <c r="I58" s="630">
        <v>0</v>
      </c>
      <c r="J58" s="724"/>
      <c r="L58" s="728">
        <f>SUMIF(T198_TB!$E:$E,TB!B58,T198_TB!$L:$L)</f>
        <v>0</v>
      </c>
      <c r="M58" s="726" t="str">
        <f t="shared" si="0"/>
        <v>TRUE</v>
      </c>
    </row>
    <row r="59" spans="1:14">
      <c r="A59" s="727" t="s">
        <v>633</v>
      </c>
      <c r="B59" s="703">
        <v>3102</v>
      </c>
      <c r="C59" s="629" t="s">
        <v>654</v>
      </c>
      <c r="D59" s="414">
        <v>1000</v>
      </c>
      <c r="E59" s="414"/>
      <c r="F59" s="414" t="s">
        <v>474</v>
      </c>
      <c r="G59" s="211">
        <v>-16092496761</v>
      </c>
      <c r="H59" s="414" t="s">
        <v>474</v>
      </c>
      <c r="I59" s="630">
        <v>-16092496761</v>
      </c>
      <c r="J59" s="724"/>
      <c r="L59" s="728">
        <f>SUMIF(T198_TB!$E:$E,TB!B59,T198_TB!$L:$L)</f>
        <v>-25682193710</v>
      </c>
      <c r="M59" s="726">
        <f t="shared" si="0"/>
        <v>9589696949</v>
      </c>
    </row>
    <row r="60" spans="1:14">
      <c r="A60" s="727" t="s">
        <v>633</v>
      </c>
      <c r="B60" s="703">
        <v>3401</v>
      </c>
      <c r="C60" s="629" t="s">
        <v>655</v>
      </c>
      <c r="D60" s="414">
        <v>1000</v>
      </c>
      <c r="E60" s="414"/>
      <c r="F60" s="414" t="s">
        <v>474</v>
      </c>
      <c r="G60" s="211">
        <v>0</v>
      </c>
      <c r="H60" s="414" t="s">
        <v>474</v>
      </c>
      <c r="I60" s="630">
        <v>0</v>
      </c>
      <c r="J60" s="724"/>
      <c r="L60" s="728">
        <f>SUMIF(T198_TB!$E:$E,TB!B60,T198_TB!$L:$L)</f>
        <v>-1156001</v>
      </c>
      <c r="M60" s="726">
        <f t="shared" si="0"/>
        <v>1156001</v>
      </c>
    </row>
    <row r="61" spans="1:14">
      <c r="A61" s="727" t="s">
        <v>633</v>
      </c>
      <c r="B61" s="703">
        <v>3402</v>
      </c>
      <c r="C61" s="629" t="s">
        <v>656</v>
      </c>
      <c r="D61" s="414">
        <v>1000</v>
      </c>
      <c r="E61" s="414"/>
      <c r="F61" s="414" t="s">
        <v>474</v>
      </c>
      <c r="G61" s="211">
        <v>-1682268188</v>
      </c>
      <c r="H61" s="414" t="s">
        <v>474</v>
      </c>
      <c r="I61" s="630">
        <v>-1682268188</v>
      </c>
      <c r="J61" s="724"/>
      <c r="L61" s="728">
        <f>SUMIF(T198_TB!$E:$E,TB!B61,T198_TB!$L:$L)</f>
        <v>-1596310763</v>
      </c>
      <c r="M61" s="726">
        <f t="shared" si="0"/>
        <v>-85957425</v>
      </c>
    </row>
    <row r="62" spans="1:14">
      <c r="A62" s="727" t="s">
        <v>633</v>
      </c>
      <c r="B62" s="703">
        <v>3201</v>
      </c>
      <c r="C62" s="629" t="s">
        <v>657</v>
      </c>
      <c r="D62" s="414">
        <v>1000</v>
      </c>
      <c r="E62" s="414"/>
      <c r="F62" s="414" t="s">
        <v>474</v>
      </c>
      <c r="G62" s="211">
        <v>-59401797</v>
      </c>
      <c r="H62" s="414" t="s">
        <v>474</v>
      </c>
      <c r="I62" s="630">
        <v>-59401797</v>
      </c>
      <c r="J62" s="724"/>
      <c r="L62" s="728">
        <f>SUMIF(T198_TB!$E:$E,TB!B62,T198_TB!$L:$L)</f>
        <v>-3057354</v>
      </c>
      <c r="M62" s="726">
        <f t="shared" si="0"/>
        <v>-56344443</v>
      </c>
      <c r="N62" s="728"/>
    </row>
    <row r="63" spans="1:14">
      <c r="A63" s="727" t="s">
        <v>633</v>
      </c>
      <c r="B63" s="703">
        <v>3103</v>
      </c>
      <c r="C63" s="629" t="s">
        <v>658</v>
      </c>
      <c r="D63" s="414">
        <v>1000</v>
      </c>
      <c r="E63" s="414"/>
      <c r="F63" s="414" t="s">
        <v>474</v>
      </c>
      <c r="G63" s="211">
        <v>-1846075494</v>
      </c>
      <c r="H63" s="414" t="s">
        <v>474</v>
      </c>
      <c r="I63" s="630">
        <v>-1846075494</v>
      </c>
      <c r="J63" s="724"/>
      <c r="L63" s="728">
        <f>SUMIF(T198_TB!$E:$E,TB!B63,T198_TB!$L:$L)</f>
        <v>-2582368062</v>
      </c>
      <c r="M63" s="726">
        <f t="shared" si="0"/>
        <v>736292568</v>
      </c>
    </row>
    <row r="64" spans="1:14">
      <c r="A64" s="727" t="s">
        <v>633</v>
      </c>
      <c r="B64" s="703">
        <v>3501</v>
      </c>
      <c r="C64" s="629" t="s">
        <v>659</v>
      </c>
      <c r="D64" s="414">
        <v>1000</v>
      </c>
      <c r="E64" s="414"/>
      <c r="F64" s="414" t="s">
        <v>474</v>
      </c>
      <c r="G64" s="211">
        <v>0</v>
      </c>
      <c r="H64" s="414" t="s">
        <v>474</v>
      </c>
      <c r="I64" s="630">
        <v>0</v>
      </c>
      <c r="J64" s="724"/>
      <c r="L64" s="728">
        <f>SUMIF(T198_TB!$E:$E,TB!B64,T198_TB!$L:$L)</f>
        <v>0</v>
      </c>
      <c r="M64" s="726" t="str">
        <f t="shared" si="0"/>
        <v>TRUE</v>
      </c>
    </row>
    <row r="65" spans="1:13">
      <c r="A65" s="727" t="s">
        <v>633</v>
      </c>
      <c r="B65" s="703">
        <v>3503</v>
      </c>
      <c r="C65" s="629" t="s">
        <v>660</v>
      </c>
      <c r="D65" s="414">
        <v>1000</v>
      </c>
      <c r="E65" s="414"/>
      <c r="F65" s="414" t="s">
        <v>474</v>
      </c>
      <c r="G65" s="211">
        <v>0</v>
      </c>
      <c r="H65" s="414" t="s">
        <v>474</v>
      </c>
      <c r="I65" s="630">
        <v>0</v>
      </c>
      <c r="J65" s="724"/>
      <c r="L65" s="728">
        <f>SUMIF(T198_TB!$E:$E,TB!B65,T198_TB!$L:$L)</f>
        <v>0</v>
      </c>
      <c r="M65" s="726" t="str">
        <f t="shared" si="0"/>
        <v>TRUE</v>
      </c>
    </row>
    <row r="66" spans="1:13">
      <c r="A66" s="727" t="s">
        <v>633</v>
      </c>
      <c r="B66" s="703">
        <v>3502</v>
      </c>
      <c r="C66" s="629" t="s">
        <v>661</v>
      </c>
      <c r="D66" s="414">
        <v>1000</v>
      </c>
      <c r="E66" s="414"/>
      <c r="F66" s="414" t="s">
        <v>474</v>
      </c>
      <c r="G66" s="211">
        <v>0</v>
      </c>
      <c r="H66" s="414" t="s">
        <v>474</v>
      </c>
      <c r="I66" s="630">
        <v>0</v>
      </c>
      <c r="J66" s="724"/>
      <c r="L66" s="728">
        <f>SUMIF(T198_TB!$E:$E,TB!B66,T198_TB!$L:$L)</f>
        <v>0</v>
      </c>
      <c r="M66" s="726" t="str">
        <f t="shared" si="0"/>
        <v>TRUE</v>
      </c>
    </row>
    <row r="67" spans="1:13">
      <c r="A67" s="727" t="s">
        <v>633</v>
      </c>
      <c r="B67" s="703">
        <v>3504</v>
      </c>
      <c r="C67" s="632" t="s">
        <v>1646</v>
      </c>
      <c r="D67" s="414">
        <v>1000</v>
      </c>
      <c r="E67" s="414"/>
      <c r="F67" s="414" t="s">
        <v>474</v>
      </c>
      <c r="G67" s="211">
        <v>-1207300989</v>
      </c>
      <c r="H67" s="414" t="s">
        <v>474</v>
      </c>
      <c r="I67" s="630">
        <v>-1207300989</v>
      </c>
      <c r="J67" s="724"/>
      <c r="L67" s="728">
        <f>SUMIF(T198_TB!$E:$E,TB!B67,T198_TB!$L:$L)</f>
        <v>-2631820890</v>
      </c>
      <c r="M67" s="726">
        <f t="shared" ref="M67:M130" si="1">IF(I67=L67,"TRUE",I67-L67)</f>
        <v>1424519901</v>
      </c>
    </row>
    <row r="68" spans="1:13">
      <c r="A68" s="727" t="s">
        <v>633</v>
      </c>
      <c r="B68" s="721">
        <v>3404</v>
      </c>
      <c r="C68" s="629" t="s">
        <v>180</v>
      </c>
      <c r="D68" s="414">
        <v>1000</v>
      </c>
      <c r="E68" s="414"/>
      <c r="F68" s="414" t="s">
        <v>474</v>
      </c>
      <c r="G68" s="211">
        <v>-326579310</v>
      </c>
      <c r="H68" s="414" t="s">
        <v>474</v>
      </c>
      <c r="I68" s="630">
        <v>-326579310</v>
      </c>
      <c r="J68" s="724"/>
      <c r="L68" s="728">
        <f>SUMIF(T198_TB!$E:$E,TB!B68,T198_TB!$L:$L)</f>
        <v>-327831696</v>
      </c>
      <c r="M68" s="726">
        <f t="shared" si="1"/>
        <v>1252386</v>
      </c>
    </row>
    <row r="69" spans="1:13">
      <c r="A69" s="727" t="s">
        <v>633</v>
      </c>
      <c r="B69" s="721">
        <v>3403</v>
      </c>
      <c r="C69" s="629" t="s">
        <v>662</v>
      </c>
      <c r="D69" s="414">
        <v>1000</v>
      </c>
      <c r="E69" s="414"/>
      <c r="F69" s="414" t="s">
        <v>474</v>
      </c>
      <c r="G69" s="211">
        <v>0</v>
      </c>
      <c r="H69" s="414" t="s">
        <v>474</v>
      </c>
      <c r="I69" s="630">
        <v>0</v>
      </c>
      <c r="J69" s="724"/>
      <c r="L69" s="728">
        <f>SUMIF(T198_TB!$E:$E,TB!B69,T198_TB!$L:$L)</f>
        <v>0</v>
      </c>
      <c r="M69" s="726" t="str">
        <f t="shared" si="1"/>
        <v>TRUE</v>
      </c>
    </row>
    <row r="70" spans="1:13">
      <c r="A70" s="727" t="s">
        <v>633</v>
      </c>
      <c r="B70" s="703">
        <v>4601</v>
      </c>
      <c r="C70" s="629" t="s">
        <v>1647</v>
      </c>
      <c r="D70" s="414">
        <v>1000</v>
      </c>
      <c r="E70" s="414"/>
      <c r="F70" s="414" t="s">
        <v>474</v>
      </c>
      <c r="G70" s="211">
        <v>-471450218</v>
      </c>
      <c r="H70" s="414" t="s">
        <v>474</v>
      </c>
      <c r="I70" s="630">
        <v>-471450218</v>
      </c>
      <c r="J70" s="724"/>
      <c r="L70" s="728">
        <f>SUMIF(T198_TB!$E:$E,TB!B70,T198_TB!$L:$L)</f>
        <v>-2715155001</v>
      </c>
      <c r="M70" s="726">
        <f t="shared" si="1"/>
        <v>2243704783</v>
      </c>
    </row>
    <row r="71" spans="1:13">
      <c r="A71" s="727" t="s">
        <v>633</v>
      </c>
      <c r="B71" s="703">
        <v>4201</v>
      </c>
      <c r="C71" s="629" t="s">
        <v>663</v>
      </c>
      <c r="D71" s="414">
        <v>1000</v>
      </c>
      <c r="E71" s="414"/>
      <c r="F71" s="414" t="s">
        <v>474</v>
      </c>
      <c r="G71" s="211">
        <v>-6416037311</v>
      </c>
      <c r="H71" s="414" t="s">
        <v>474</v>
      </c>
      <c r="I71" s="630">
        <v>-6416037311</v>
      </c>
      <c r="J71" s="724"/>
      <c r="L71" s="728">
        <f>SUMIF(T198_TB!$E:$E,TB!B71,T198_TB!$L:$L)</f>
        <v>-6731667294</v>
      </c>
      <c r="M71" s="726">
        <f t="shared" si="1"/>
        <v>315629983</v>
      </c>
    </row>
    <row r="72" spans="1:13">
      <c r="A72" s="727" t="s">
        <v>633</v>
      </c>
      <c r="B72" s="703">
        <v>4202</v>
      </c>
      <c r="C72" s="629" t="s">
        <v>664</v>
      </c>
      <c r="D72" s="414">
        <v>1000</v>
      </c>
      <c r="E72" s="414"/>
      <c r="F72" s="414" t="s">
        <v>474</v>
      </c>
      <c r="G72" s="211">
        <v>4002777243</v>
      </c>
      <c r="H72" s="414" t="s">
        <v>474</v>
      </c>
      <c r="I72" s="630">
        <v>4002777243</v>
      </c>
      <c r="J72" s="724"/>
      <c r="L72" s="728">
        <f>SUMIF(T198_TB!$E:$E,TB!B72,T198_TB!$L:$L)</f>
        <v>5908936840</v>
      </c>
      <c r="M72" s="726">
        <f t="shared" si="1"/>
        <v>-1906159597</v>
      </c>
    </row>
    <row r="73" spans="1:13">
      <c r="A73" s="727" t="s">
        <v>633</v>
      </c>
      <c r="B73" s="703">
        <v>4402</v>
      </c>
      <c r="C73" s="629" t="s">
        <v>188</v>
      </c>
      <c r="D73" s="414">
        <v>1000</v>
      </c>
      <c r="E73" s="414"/>
      <c r="F73" s="414" t="s">
        <v>474</v>
      </c>
      <c r="G73" s="211">
        <v>-109150543</v>
      </c>
      <c r="H73" s="414" t="s">
        <v>474</v>
      </c>
      <c r="I73" s="630">
        <v>-109150543</v>
      </c>
      <c r="J73" s="724"/>
      <c r="L73" s="728">
        <f>SUMIF(T198_TB!$E:$E,TB!B73,T198_TB!$L:$L)</f>
        <v>-118883200</v>
      </c>
      <c r="M73" s="726">
        <f t="shared" si="1"/>
        <v>9732657</v>
      </c>
    </row>
    <row r="74" spans="1:13">
      <c r="A74" s="727" t="s">
        <v>633</v>
      </c>
      <c r="B74" s="703">
        <v>4301</v>
      </c>
      <c r="C74" s="629" t="s">
        <v>665</v>
      </c>
      <c r="D74" s="414">
        <v>1000</v>
      </c>
      <c r="E74" s="414"/>
      <c r="F74" s="414" t="s">
        <v>474</v>
      </c>
      <c r="G74" s="211">
        <v>-1747669659</v>
      </c>
      <c r="H74" s="414" t="s">
        <v>474</v>
      </c>
      <c r="I74" s="630">
        <v>-1747669659</v>
      </c>
      <c r="J74" s="724"/>
      <c r="L74" s="728">
        <f>SUMIF(T198_TB!$E:$E,TB!B74,T198_TB!$L:$L)</f>
        <v>0</v>
      </c>
      <c r="M74" s="726">
        <f t="shared" si="1"/>
        <v>-1747669659</v>
      </c>
    </row>
    <row r="75" spans="1:13">
      <c r="A75" s="727" t="s">
        <v>633</v>
      </c>
      <c r="B75" s="703">
        <v>4103</v>
      </c>
      <c r="C75" s="629" t="s">
        <v>1643</v>
      </c>
      <c r="D75" s="414">
        <v>1000</v>
      </c>
      <c r="E75" s="414"/>
      <c r="F75" s="414" t="s">
        <v>474</v>
      </c>
      <c r="G75" s="211">
        <v>0</v>
      </c>
      <c r="H75" s="414" t="s">
        <v>474</v>
      </c>
      <c r="I75" s="630">
        <v>0</v>
      </c>
      <c r="J75" s="724"/>
      <c r="L75" s="728">
        <f>SUMIF(T198_TB!$E:$E,TB!B75,T198_TB!$L:$L)</f>
        <v>0</v>
      </c>
      <c r="M75" s="726" t="str">
        <f t="shared" si="1"/>
        <v>TRUE</v>
      </c>
    </row>
    <row r="76" spans="1:13">
      <c r="A76" s="727" t="s">
        <v>633</v>
      </c>
      <c r="B76" s="703">
        <v>112900</v>
      </c>
      <c r="C76" s="629" t="s">
        <v>1649</v>
      </c>
      <c r="D76" s="414">
        <v>1000</v>
      </c>
      <c r="E76" s="414"/>
      <c r="F76" s="414" t="s">
        <v>474</v>
      </c>
      <c r="G76" s="211">
        <v>354388</v>
      </c>
      <c r="H76" s="414" t="s">
        <v>474</v>
      </c>
      <c r="I76" s="630">
        <v>354388</v>
      </c>
      <c r="J76" s="724"/>
      <c r="L76" s="728">
        <f>SUMIF(T198_TB!$E:$E,TB!B76,T198_TB!$L:$L)</f>
        <v>136472606</v>
      </c>
      <c r="M76" s="726">
        <f t="shared" si="1"/>
        <v>-136118218</v>
      </c>
    </row>
    <row r="77" spans="1:13">
      <c r="A77" s="727" t="s">
        <v>633</v>
      </c>
      <c r="B77" s="703">
        <v>219000</v>
      </c>
      <c r="C77" s="629" t="s">
        <v>1650</v>
      </c>
      <c r="D77" s="414">
        <v>1000</v>
      </c>
      <c r="E77" s="414"/>
      <c r="F77" s="414" t="s">
        <v>474</v>
      </c>
      <c r="G77" s="211">
        <v>-856264297</v>
      </c>
      <c r="H77" s="414" t="s">
        <v>474</v>
      </c>
      <c r="I77" s="630">
        <v>-856264297</v>
      </c>
      <c r="J77" s="724"/>
      <c r="L77" s="728">
        <f>SUMIF(T198_TB!$E:$E,TB!B77,T198_TB!$L:$L)</f>
        <v>-1883642907</v>
      </c>
      <c r="M77" s="726">
        <f t="shared" si="1"/>
        <v>1027378610</v>
      </c>
    </row>
    <row r="78" spans="1:13">
      <c r="A78" s="727" t="s">
        <v>633</v>
      </c>
      <c r="B78" s="703">
        <v>5101</v>
      </c>
      <c r="C78" s="629" t="s">
        <v>190</v>
      </c>
      <c r="D78" s="414">
        <v>1000</v>
      </c>
      <c r="E78" s="414"/>
      <c r="F78" s="414" t="s">
        <v>474</v>
      </c>
      <c r="G78" s="211">
        <v>-28429923500</v>
      </c>
      <c r="H78" s="414" t="s">
        <v>474</v>
      </c>
      <c r="I78" s="630">
        <v>-28429923500</v>
      </c>
      <c r="J78" s="724"/>
      <c r="L78" s="728">
        <f>SUMIF(T198_TB!$E:$E,TB!B78,T198_TB!$L:$L)</f>
        <v>-28429923500</v>
      </c>
      <c r="M78" s="726" t="str">
        <f t="shared" si="1"/>
        <v>TRUE</v>
      </c>
    </row>
    <row r="79" spans="1:13">
      <c r="A79" s="727" t="s">
        <v>633</v>
      </c>
      <c r="B79" s="703">
        <v>5201</v>
      </c>
      <c r="C79" s="629" t="s">
        <v>191</v>
      </c>
      <c r="D79" s="414">
        <v>1000</v>
      </c>
      <c r="E79" s="414"/>
      <c r="F79" s="414" t="s">
        <v>474</v>
      </c>
      <c r="G79" s="211">
        <v>-177997002186</v>
      </c>
      <c r="H79" s="414" t="s">
        <v>474</v>
      </c>
      <c r="I79" s="630">
        <v>-177997002186</v>
      </c>
      <c r="J79" s="724"/>
      <c r="L79" s="728">
        <f>SUMIF(T198_TB!$E:$E,TB!B79,T198_TB!$L:$L)</f>
        <v>-177997002186</v>
      </c>
      <c r="M79" s="726" t="str">
        <f t="shared" si="1"/>
        <v>TRUE</v>
      </c>
    </row>
    <row r="80" spans="1:13">
      <c r="A80" s="727" t="s">
        <v>633</v>
      </c>
      <c r="B80" s="703">
        <v>5202</v>
      </c>
      <c r="C80" s="629" t="s">
        <v>666</v>
      </c>
      <c r="D80" s="414">
        <v>1000</v>
      </c>
      <c r="E80" s="414"/>
      <c r="F80" s="414" t="s">
        <v>474</v>
      </c>
      <c r="G80" s="211">
        <v>-562575670</v>
      </c>
      <c r="H80" s="414" t="s">
        <v>474</v>
      </c>
      <c r="I80" s="630">
        <v>-562575670</v>
      </c>
      <c r="J80" s="724"/>
      <c r="L80" s="728">
        <f>SUMIF(T198_TB!$E:$E,TB!B80,T198_TB!$L:$L)</f>
        <v>-562575670</v>
      </c>
      <c r="M80" s="726" t="str">
        <f t="shared" si="1"/>
        <v>TRUE</v>
      </c>
    </row>
    <row r="81" spans="1:13">
      <c r="A81" s="727" t="s">
        <v>633</v>
      </c>
      <c r="B81" s="703">
        <v>5203</v>
      </c>
      <c r="C81" s="629" t="s">
        <v>192</v>
      </c>
      <c r="D81" s="414">
        <v>1000</v>
      </c>
      <c r="E81" s="414"/>
      <c r="F81" s="414" t="s">
        <v>474</v>
      </c>
      <c r="G81" s="211">
        <v>0</v>
      </c>
      <c r="H81" s="414" t="s">
        <v>474</v>
      </c>
      <c r="I81" s="630">
        <v>0</v>
      </c>
      <c r="J81" s="724"/>
      <c r="L81" s="728">
        <f>SUMIF(T198_TB!$E:$E,TB!B81,T198_TB!$L:$L)</f>
        <v>0</v>
      </c>
      <c r="M81" s="726" t="str">
        <f t="shared" si="1"/>
        <v>TRUE</v>
      </c>
    </row>
    <row r="82" spans="1:13">
      <c r="A82" s="727" t="s">
        <v>633</v>
      </c>
      <c r="B82" s="703">
        <v>5301</v>
      </c>
      <c r="C82" s="629" t="s">
        <v>196</v>
      </c>
      <c r="D82" s="414">
        <v>1000</v>
      </c>
      <c r="E82" s="414"/>
      <c r="F82" s="414" t="s">
        <v>474</v>
      </c>
      <c r="G82" s="211">
        <v>1292039719</v>
      </c>
      <c r="H82" s="414" t="s">
        <v>474</v>
      </c>
      <c r="I82" s="630">
        <v>1292039719</v>
      </c>
      <c r="J82" s="724"/>
      <c r="L82" s="728">
        <f>SUMIF(T198_TB!$E:$E,TB!B82,T198_TB!$L:$L)</f>
        <v>1292039719</v>
      </c>
      <c r="M82" s="726" t="str">
        <f t="shared" si="1"/>
        <v>TRUE</v>
      </c>
    </row>
    <row r="83" spans="1:13">
      <c r="A83" s="727" t="s">
        <v>633</v>
      </c>
      <c r="B83" s="703">
        <v>5304</v>
      </c>
      <c r="C83" s="629" t="s">
        <v>667</v>
      </c>
      <c r="D83" s="414">
        <v>1000</v>
      </c>
      <c r="E83" s="414"/>
      <c r="F83" s="414" t="s">
        <v>474</v>
      </c>
      <c r="G83" s="211">
        <v>2736109088</v>
      </c>
      <c r="H83" s="414" t="s">
        <v>474</v>
      </c>
      <c r="I83" s="630">
        <v>2736109088</v>
      </c>
      <c r="J83" s="724"/>
      <c r="L83" s="728">
        <f>SUMIF(T198_TB!$E:$E,TB!B83,T198_TB!$L:$L)</f>
        <v>2736109088</v>
      </c>
      <c r="M83" s="726" t="str">
        <f t="shared" si="1"/>
        <v>TRUE</v>
      </c>
    </row>
    <row r="84" spans="1:13">
      <c r="A84" s="727" t="s">
        <v>633</v>
      </c>
      <c r="B84" s="703">
        <v>5307</v>
      </c>
      <c r="C84" s="629" t="s">
        <v>204</v>
      </c>
      <c r="D84" s="414">
        <v>1000</v>
      </c>
      <c r="E84" s="414"/>
      <c r="F84" s="414" t="s">
        <v>474</v>
      </c>
      <c r="G84" s="211">
        <v>-2665755788</v>
      </c>
      <c r="H84" s="414" t="s">
        <v>474</v>
      </c>
      <c r="I84" s="630">
        <v>-2665755788</v>
      </c>
      <c r="J84" s="724"/>
      <c r="L84" s="728">
        <f>SUMIF(T198_TB!$E:$E,TB!B84,T198_TB!$L:$L)</f>
        <v>-2418521277</v>
      </c>
      <c r="M84" s="726">
        <f t="shared" si="1"/>
        <v>-247234511</v>
      </c>
    </row>
    <row r="85" spans="1:13">
      <c r="A85" s="727" t="s">
        <v>633</v>
      </c>
      <c r="B85" s="703">
        <v>5402</v>
      </c>
      <c r="C85" s="629" t="s">
        <v>402</v>
      </c>
      <c r="D85" s="414">
        <v>1000</v>
      </c>
      <c r="E85" s="414"/>
      <c r="F85" s="414" t="s">
        <v>474</v>
      </c>
      <c r="G85" s="211">
        <v>87889806431</v>
      </c>
      <c r="H85" s="414" t="s">
        <v>474</v>
      </c>
      <c r="I85" s="630">
        <v>87889806431</v>
      </c>
      <c r="J85" s="724"/>
      <c r="L85" s="728">
        <f>SUMIF(T198_TB!$E:$E,TB!B85,T198_TB!$L:$L)</f>
        <v>87889806431</v>
      </c>
      <c r="M85" s="726" t="str">
        <f t="shared" si="1"/>
        <v>TRUE</v>
      </c>
    </row>
    <row r="86" spans="1:13">
      <c r="A86" s="727" t="s">
        <v>633</v>
      </c>
      <c r="B86" s="703">
        <v>5302</v>
      </c>
      <c r="C86" s="629" t="s">
        <v>1648</v>
      </c>
      <c r="D86" s="414">
        <v>1000</v>
      </c>
      <c r="E86" s="414"/>
      <c r="F86" s="414" t="s">
        <v>474</v>
      </c>
      <c r="G86" s="211">
        <v>-1281898314</v>
      </c>
      <c r="H86" s="414" t="s">
        <v>474</v>
      </c>
      <c r="I86" s="630">
        <v>-1281898314</v>
      </c>
      <c r="J86" s="724"/>
      <c r="L86" s="728">
        <f>SUMIF(T198_TB!$E:$E,TB!B86,T198_TB!$L:$L)</f>
        <v>-1298943576</v>
      </c>
      <c r="M86" s="726">
        <f t="shared" si="1"/>
        <v>17045262</v>
      </c>
    </row>
    <row r="87" spans="1:13">
      <c r="A87" s="727" t="s">
        <v>633</v>
      </c>
      <c r="B87" s="703">
        <v>5401</v>
      </c>
      <c r="C87" s="629" t="s">
        <v>528</v>
      </c>
      <c r="D87" s="414">
        <v>1000</v>
      </c>
      <c r="E87" s="414"/>
      <c r="F87" s="414" t="s">
        <v>474</v>
      </c>
      <c r="G87" s="211">
        <v>186741681</v>
      </c>
      <c r="H87" s="414" t="s">
        <v>474</v>
      </c>
      <c r="I87" s="630">
        <v>186741681</v>
      </c>
      <c r="J87" s="724"/>
      <c r="L87" s="728">
        <f>SUMIF(T198_TB!$E:$E,TB!B87,T198_TB!$L:$L)</f>
        <v>279145066</v>
      </c>
      <c r="M87" s="726">
        <f t="shared" si="1"/>
        <v>-92403385</v>
      </c>
    </row>
    <row r="88" spans="1:13">
      <c r="A88" s="727" t="s">
        <v>633</v>
      </c>
      <c r="B88" s="703">
        <v>101</v>
      </c>
      <c r="C88" s="629" t="s">
        <v>668</v>
      </c>
      <c r="D88" s="414">
        <v>1000</v>
      </c>
      <c r="E88" s="414"/>
      <c r="F88" s="414" t="s">
        <v>474</v>
      </c>
      <c r="G88" s="211">
        <v>-16386011342</v>
      </c>
      <c r="H88" s="414" t="s">
        <v>474</v>
      </c>
      <c r="I88" s="630">
        <v>-16386011342</v>
      </c>
      <c r="J88" s="724"/>
      <c r="L88" s="728">
        <f>SUMIF(T198_TB!$E:$E,TB!B88,T198_TB!$L:$L)</f>
        <v>-25726197587</v>
      </c>
      <c r="M88" s="726">
        <f t="shared" si="1"/>
        <v>9340186245</v>
      </c>
    </row>
    <row r="89" spans="1:13">
      <c r="A89" s="727" t="s">
        <v>633</v>
      </c>
      <c r="B89" s="703">
        <v>102</v>
      </c>
      <c r="C89" s="629" t="s">
        <v>669</v>
      </c>
      <c r="D89" s="414">
        <v>1000</v>
      </c>
      <c r="E89" s="414"/>
      <c r="F89" s="414" t="s">
        <v>474</v>
      </c>
      <c r="G89" s="211">
        <v>-4755385497</v>
      </c>
      <c r="H89" s="414" t="s">
        <v>474</v>
      </c>
      <c r="I89" s="630">
        <v>-4755385497</v>
      </c>
      <c r="J89" s="724"/>
      <c r="L89" s="728">
        <f>SUMIF(T198_TB!$E:$E,TB!B89,T198_TB!$L:$L)</f>
        <v>-5178408371</v>
      </c>
      <c r="M89" s="726">
        <f t="shared" si="1"/>
        <v>423022874</v>
      </c>
    </row>
    <row r="90" spans="1:13">
      <c r="A90" s="727" t="s">
        <v>633</v>
      </c>
      <c r="B90" s="703">
        <v>105</v>
      </c>
      <c r="C90" s="629" t="s">
        <v>670</v>
      </c>
      <c r="D90" s="414">
        <v>1000</v>
      </c>
      <c r="E90" s="414"/>
      <c r="F90" s="414" t="s">
        <v>474</v>
      </c>
      <c r="G90" s="211">
        <v>-5127229369</v>
      </c>
      <c r="H90" s="414" t="s">
        <v>474</v>
      </c>
      <c r="I90" s="630">
        <v>-5127229369</v>
      </c>
      <c r="J90" s="724"/>
      <c r="L90" s="728">
        <f>SUMIF(T198_TB!$E:$E,TB!B90,T198_TB!$L:$L)</f>
        <v>-5940662164</v>
      </c>
      <c r="M90" s="726">
        <f t="shared" si="1"/>
        <v>813432795</v>
      </c>
    </row>
    <row r="91" spans="1:13">
      <c r="A91" s="727" t="s">
        <v>633</v>
      </c>
      <c r="B91" s="703">
        <v>106</v>
      </c>
      <c r="C91" s="629" t="s">
        <v>671</v>
      </c>
      <c r="D91" s="414">
        <v>1000</v>
      </c>
      <c r="E91" s="414"/>
      <c r="F91" s="414" t="s">
        <v>474</v>
      </c>
      <c r="G91" s="211">
        <v>-11677090890</v>
      </c>
      <c r="H91" s="414" t="s">
        <v>474</v>
      </c>
      <c r="I91" s="630">
        <v>-11677090890</v>
      </c>
      <c r="J91" s="724"/>
      <c r="L91" s="728">
        <f>SUMIF(T198_TB!$E:$E,TB!B91,T198_TB!$L:$L)</f>
        <v>-15282195604</v>
      </c>
      <c r="M91" s="726">
        <f t="shared" si="1"/>
        <v>3605104714</v>
      </c>
    </row>
    <row r="92" spans="1:13">
      <c r="A92" s="727" t="s">
        <v>633</v>
      </c>
      <c r="B92" s="703">
        <v>103</v>
      </c>
      <c r="C92" s="629" t="s">
        <v>237</v>
      </c>
      <c r="D92" s="414">
        <v>1000</v>
      </c>
      <c r="E92" s="414"/>
      <c r="F92" s="414" t="s">
        <v>474</v>
      </c>
      <c r="G92" s="211">
        <v>-125122289746</v>
      </c>
      <c r="H92" s="414" t="s">
        <v>474</v>
      </c>
      <c r="I92" s="630">
        <v>-125122289746</v>
      </c>
      <c r="J92" s="724"/>
      <c r="L92" s="728">
        <f>SUMIF(T198_TB!$E:$E,TB!B92,T198_TB!$L:$L)</f>
        <v>-174201608497</v>
      </c>
      <c r="M92" s="726">
        <f t="shared" si="1"/>
        <v>49079318751</v>
      </c>
    </row>
    <row r="93" spans="1:13">
      <c r="A93" s="727" t="s">
        <v>633</v>
      </c>
      <c r="B93" s="703">
        <v>201</v>
      </c>
      <c r="C93" s="629" t="s">
        <v>240</v>
      </c>
      <c r="D93" s="414">
        <v>1000</v>
      </c>
      <c r="E93" s="414"/>
      <c r="F93" s="414" t="s">
        <v>474</v>
      </c>
      <c r="G93" s="211">
        <v>17557500163</v>
      </c>
      <c r="H93" s="414" t="s">
        <v>474</v>
      </c>
      <c r="I93" s="630">
        <v>17557500163</v>
      </c>
      <c r="J93" s="724"/>
      <c r="L93" s="728">
        <f>SUMIF(T198_TB!$E:$E,TB!B93,T198_TB!$L:$L)</f>
        <v>26833967325</v>
      </c>
      <c r="M93" s="726">
        <f t="shared" si="1"/>
        <v>-9276467162</v>
      </c>
    </row>
    <row r="94" spans="1:13">
      <c r="A94" s="727" t="s">
        <v>633</v>
      </c>
      <c r="B94" s="703">
        <v>202</v>
      </c>
      <c r="C94" s="629" t="s">
        <v>242</v>
      </c>
      <c r="D94" s="414">
        <v>1000</v>
      </c>
      <c r="E94" s="414"/>
      <c r="F94" s="414" t="s">
        <v>474</v>
      </c>
      <c r="G94" s="211">
        <v>9675428377</v>
      </c>
      <c r="H94" s="414" t="s">
        <v>474</v>
      </c>
      <c r="I94" s="630">
        <v>9675428377</v>
      </c>
      <c r="J94" s="724"/>
      <c r="L94" s="728">
        <f>SUMIF(T198_TB!$E:$E,TB!B94,T198_TB!$L:$L)</f>
        <v>13476781012</v>
      </c>
      <c r="M94" s="726">
        <f t="shared" si="1"/>
        <v>-3801352635</v>
      </c>
    </row>
    <row r="95" spans="1:13">
      <c r="A95" s="727" t="s">
        <v>633</v>
      </c>
      <c r="B95" s="703">
        <v>204</v>
      </c>
      <c r="C95" s="629" t="s">
        <v>256</v>
      </c>
      <c r="D95" s="414">
        <v>1000</v>
      </c>
      <c r="E95" s="414"/>
      <c r="F95" s="414" t="s">
        <v>474</v>
      </c>
      <c r="G95" s="211">
        <v>103156226642</v>
      </c>
      <c r="H95" s="414" t="s">
        <v>474</v>
      </c>
      <c r="I95" s="630">
        <v>103156226642</v>
      </c>
      <c r="J95" s="724"/>
      <c r="L95" s="728">
        <f>SUMIF(T198_TB!$E:$E,TB!B95,T198_TB!$L:$L)</f>
        <v>140894638990</v>
      </c>
      <c r="M95" s="726">
        <f t="shared" si="1"/>
        <v>-37738412348</v>
      </c>
    </row>
    <row r="96" spans="1:13">
      <c r="A96" s="727" t="s">
        <v>633</v>
      </c>
      <c r="B96" s="703">
        <v>301</v>
      </c>
      <c r="C96" s="629" t="s">
        <v>260</v>
      </c>
      <c r="D96" s="414">
        <v>1000</v>
      </c>
      <c r="E96" s="414"/>
      <c r="F96" s="414" t="s">
        <v>474</v>
      </c>
      <c r="G96" s="211">
        <v>11013830261</v>
      </c>
      <c r="H96" s="414" t="s">
        <v>474</v>
      </c>
      <c r="I96" s="630">
        <v>11013830261</v>
      </c>
      <c r="J96" s="724"/>
      <c r="L96" s="728">
        <f>SUMIF(T198_TB!$E:$E,TB!B96,T198_TB!$L:$L)</f>
        <v>15962194642</v>
      </c>
      <c r="M96" s="726">
        <f t="shared" si="1"/>
        <v>-4948364381</v>
      </c>
    </row>
    <row r="97" spans="1:13">
      <c r="A97" s="727" t="s">
        <v>633</v>
      </c>
      <c r="B97" s="703">
        <v>302</v>
      </c>
      <c r="C97" s="629" t="s">
        <v>262</v>
      </c>
      <c r="D97" s="414">
        <v>1000</v>
      </c>
      <c r="E97" s="414"/>
      <c r="F97" s="414" t="s">
        <v>474</v>
      </c>
      <c r="G97" s="211">
        <v>1295143664</v>
      </c>
      <c r="H97" s="414" t="s">
        <v>474</v>
      </c>
      <c r="I97" s="630">
        <v>1295143664</v>
      </c>
      <c r="J97" s="724"/>
      <c r="L97" s="728">
        <f>SUMIF(T198_TB!$E:$E,TB!B97,T198_TB!$L:$L)</f>
        <v>1716897804</v>
      </c>
      <c r="M97" s="726">
        <f t="shared" si="1"/>
        <v>-421754140</v>
      </c>
    </row>
    <row r="98" spans="1:13">
      <c r="A98" s="727" t="s">
        <v>633</v>
      </c>
      <c r="B98" s="703">
        <v>304</v>
      </c>
      <c r="C98" s="629" t="s">
        <v>264</v>
      </c>
      <c r="D98" s="414">
        <v>1000</v>
      </c>
      <c r="E98" s="414"/>
      <c r="F98" s="414" t="s">
        <v>474</v>
      </c>
      <c r="G98" s="211">
        <v>1933525453</v>
      </c>
      <c r="H98" s="414" t="s">
        <v>474</v>
      </c>
      <c r="I98" s="630">
        <v>1933525453</v>
      </c>
      <c r="J98" s="724"/>
      <c r="L98" s="728">
        <f>SUMIF(T198_TB!$E:$E,TB!B98,T198_TB!$L:$L)</f>
        <v>3367428459</v>
      </c>
      <c r="M98" s="726">
        <f t="shared" si="1"/>
        <v>-1433903006</v>
      </c>
    </row>
    <row r="99" spans="1:13">
      <c r="A99" s="727" t="s">
        <v>633</v>
      </c>
      <c r="B99" s="703">
        <v>305</v>
      </c>
      <c r="C99" s="629" t="s">
        <v>266</v>
      </c>
      <c r="D99" s="414">
        <v>1000</v>
      </c>
      <c r="E99" s="414"/>
      <c r="F99" s="414" t="s">
        <v>474</v>
      </c>
      <c r="G99" s="211">
        <v>113208606</v>
      </c>
      <c r="H99" s="414" t="s">
        <v>474</v>
      </c>
      <c r="I99" s="630">
        <v>113208606</v>
      </c>
      <c r="J99" s="724"/>
      <c r="L99" s="728">
        <f>SUMIF(T198_TB!$E:$E,TB!B99,T198_TB!$L:$L)</f>
        <v>160800898</v>
      </c>
      <c r="M99" s="726">
        <f t="shared" si="1"/>
        <v>-47592292</v>
      </c>
    </row>
    <row r="100" spans="1:13">
      <c r="A100" s="727" t="s">
        <v>633</v>
      </c>
      <c r="B100" s="703">
        <v>307</v>
      </c>
      <c r="C100" s="629" t="s">
        <v>270</v>
      </c>
      <c r="D100" s="414">
        <v>1000</v>
      </c>
      <c r="E100" s="414"/>
      <c r="F100" s="414" t="s">
        <v>474</v>
      </c>
      <c r="G100" s="211">
        <v>199358425</v>
      </c>
      <c r="H100" s="414" t="s">
        <v>474</v>
      </c>
      <c r="I100" s="630">
        <v>199358425</v>
      </c>
      <c r="J100" s="724"/>
      <c r="L100" s="728">
        <f>SUMIF(T198_TB!$E:$E,TB!B100,T198_TB!$L:$L)</f>
        <v>261944781</v>
      </c>
      <c r="M100" s="726">
        <f t="shared" si="1"/>
        <v>-62586356</v>
      </c>
    </row>
    <row r="101" spans="1:13">
      <c r="A101" s="727" t="s">
        <v>633</v>
      </c>
      <c r="B101" s="703">
        <v>309</v>
      </c>
      <c r="C101" s="629" t="s">
        <v>274</v>
      </c>
      <c r="D101" s="414">
        <v>1000</v>
      </c>
      <c r="E101" s="414"/>
      <c r="F101" s="414" t="s">
        <v>474</v>
      </c>
      <c r="G101" s="211">
        <v>47682492</v>
      </c>
      <c r="H101" s="414" t="s">
        <v>474</v>
      </c>
      <c r="I101" s="630">
        <v>47682492</v>
      </c>
      <c r="J101" s="724"/>
      <c r="L101" s="728">
        <f>SUMIF(T198_TB!$E:$E,TB!B101,T198_TB!$L:$L)</f>
        <v>68952379</v>
      </c>
      <c r="M101" s="726">
        <f t="shared" si="1"/>
        <v>-21269887</v>
      </c>
    </row>
    <row r="102" spans="1:13">
      <c r="A102" s="727" t="s">
        <v>633</v>
      </c>
      <c r="B102" s="703">
        <v>311</v>
      </c>
      <c r="C102" s="629" t="s">
        <v>276</v>
      </c>
      <c r="D102" s="414">
        <v>1000</v>
      </c>
      <c r="E102" s="414"/>
      <c r="F102" s="414" t="s">
        <v>474</v>
      </c>
      <c r="G102" s="211">
        <v>189381686</v>
      </c>
      <c r="H102" s="414" t="s">
        <v>474</v>
      </c>
      <c r="I102" s="630">
        <v>189381686</v>
      </c>
      <c r="J102" s="724"/>
      <c r="L102" s="728">
        <f>SUMIF(T198_TB!$E:$E,TB!B102,T198_TB!$L:$L)</f>
        <v>280231919</v>
      </c>
      <c r="M102" s="726">
        <f t="shared" si="1"/>
        <v>-90850233</v>
      </c>
    </row>
    <row r="103" spans="1:13">
      <c r="A103" s="727" t="s">
        <v>633</v>
      </c>
      <c r="B103" s="703">
        <v>31101</v>
      </c>
      <c r="C103" s="629" t="s">
        <v>1796</v>
      </c>
      <c r="D103" s="414">
        <v>1000</v>
      </c>
      <c r="E103" s="414"/>
      <c r="F103" s="414" t="s">
        <v>474</v>
      </c>
      <c r="G103" s="211">
        <v>49856252</v>
      </c>
      <c r="H103" s="414" t="s">
        <v>474</v>
      </c>
      <c r="I103" s="630">
        <v>49856252</v>
      </c>
      <c r="J103" s="724"/>
      <c r="L103" s="728">
        <f>SUMIF(T198_TB!$E:$E,TB!B103,T198_TB!$L:$L)</f>
        <v>70594266</v>
      </c>
      <c r="M103" s="726">
        <f t="shared" si="1"/>
        <v>-20738014</v>
      </c>
    </row>
    <row r="104" spans="1:13">
      <c r="A104" s="727" t="s">
        <v>633</v>
      </c>
      <c r="B104" s="703">
        <v>31102</v>
      </c>
      <c r="C104" s="629" t="s">
        <v>1797</v>
      </c>
      <c r="D104" s="414">
        <v>1000</v>
      </c>
      <c r="E104" s="414"/>
      <c r="F104" s="414" t="s">
        <v>474</v>
      </c>
      <c r="G104" s="211">
        <v>28865267</v>
      </c>
      <c r="H104" s="414" t="s">
        <v>474</v>
      </c>
      <c r="I104" s="630">
        <v>28865267</v>
      </c>
      <c r="J104" s="724"/>
      <c r="L104" s="728">
        <f>SUMIF(T198_TB!$E:$E,TB!B104,T198_TB!$L:$L)</f>
        <v>37959092</v>
      </c>
      <c r="M104" s="726">
        <f t="shared" si="1"/>
        <v>-9093825</v>
      </c>
    </row>
    <row r="105" spans="1:13">
      <c r="A105" s="727" t="s">
        <v>633</v>
      </c>
      <c r="B105" s="703">
        <v>310</v>
      </c>
      <c r="C105" s="629" t="s">
        <v>672</v>
      </c>
      <c r="D105" s="414">
        <v>1000</v>
      </c>
      <c r="E105" s="414"/>
      <c r="F105" s="414" t="s">
        <v>474</v>
      </c>
      <c r="G105" s="211">
        <v>359916904</v>
      </c>
      <c r="H105" s="414" t="s">
        <v>474</v>
      </c>
      <c r="I105" s="630">
        <v>359916904</v>
      </c>
      <c r="J105" s="724"/>
      <c r="L105" s="728">
        <f>SUMIF(T198_TB!$E:$E,TB!B105,T198_TB!$L:$L)</f>
        <v>474993733</v>
      </c>
      <c r="M105" s="726">
        <f t="shared" si="1"/>
        <v>-115076829</v>
      </c>
    </row>
    <row r="106" spans="1:13">
      <c r="A106" s="727" t="s">
        <v>633</v>
      </c>
      <c r="B106" s="703">
        <v>31001</v>
      </c>
      <c r="C106" s="629" t="s">
        <v>673</v>
      </c>
      <c r="D106" s="414">
        <v>1000</v>
      </c>
      <c r="E106" s="414"/>
      <c r="F106" s="414" t="s">
        <v>474</v>
      </c>
      <c r="G106" s="211">
        <v>16256609</v>
      </c>
      <c r="H106" s="414" t="s">
        <v>474</v>
      </c>
      <c r="I106" s="630">
        <v>16256609</v>
      </c>
      <c r="J106" s="724"/>
      <c r="L106" s="728">
        <f>SUMIF(T198_TB!$E:$E,TB!B106,T198_TB!$L:$L)</f>
        <v>21094052</v>
      </c>
      <c r="M106" s="726">
        <f t="shared" si="1"/>
        <v>-4837443</v>
      </c>
    </row>
    <row r="107" spans="1:13">
      <c r="A107" s="727" t="s">
        <v>633</v>
      </c>
      <c r="B107" s="703">
        <v>335</v>
      </c>
      <c r="C107" s="633" t="s">
        <v>1652</v>
      </c>
      <c r="D107" s="414">
        <v>1000</v>
      </c>
      <c r="E107" s="414"/>
      <c r="F107" s="414" t="s">
        <v>474</v>
      </c>
      <c r="G107" s="211">
        <v>1815563936</v>
      </c>
      <c r="H107" s="414" t="s">
        <v>474</v>
      </c>
      <c r="I107" s="630">
        <v>1815563936</v>
      </c>
      <c r="J107" s="724"/>
      <c r="L107" s="728">
        <f>SUMIF(T198_TB!$E:$E,TB!B107,T198_TB!$L:$L)</f>
        <v>2293823046</v>
      </c>
      <c r="M107" s="726">
        <f t="shared" si="1"/>
        <v>-478259110</v>
      </c>
    </row>
    <row r="108" spans="1:13">
      <c r="A108" s="727" t="s">
        <v>633</v>
      </c>
      <c r="B108" s="703">
        <v>334</v>
      </c>
      <c r="C108" s="632" t="s">
        <v>1653</v>
      </c>
      <c r="D108" s="414">
        <v>1000</v>
      </c>
      <c r="E108" s="414"/>
      <c r="F108" s="414" t="s">
        <v>474</v>
      </c>
      <c r="G108" s="211">
        <v>28731481</v>
      </c>
      <c r="H108" s="414" t="s">
        <v>474</v>
      </c>
      <c r="I108" s="630">
        <v>28731481</v>
      </c>
      <c r="J108" s="724"/>
      <c r="L108" s="728">
        <f>SUMIF(T198_TB!$E:$E,TB!B108,T198_TB!$L:$L)</f>
        <v>38021107</v>
      </c>
      <c r="M108" s="726">
        <f t="shared" si="1"/>
        <v>-9289626</v>
      </c>
    </row>
    <row r="109" spans="1:13">
      <c r="A109" s="727" t="s">
        <v>633</v>
      </c>
      <c r="B109" s="703">
        <v>326</v>
      </c>
      <c r="C109" s="629" t="s">
        <v>386</v>
      </c>
      <c r="D109" s="414">
        <v>1000</v>
      </c>
      <c r="E109" s="414"/>
      <c r="F109" s="414" t="s">
        <v>474</v>
      </c>
      <c r="G109" s="211">
        <v>4974888158</v>
      </c>
      <c r="H109" s="414" t="s">
        <v>474</v>
      </c>
      <c r="I109" s="630">
        <v>4974888158</v>
      </c>
      <c r="J109" s="724"/>
      <c r="L109" s="728">
        <f>SUMIF(T198_TB!$E:$E,TB!B109,T198_TB!$L:$L)</f>
        <v>6564079983</v>
      </c>
      <c r="M109" s="726">
        <f t="shared" si="1"/>
        <v>-1589191825</v>
      </c>
    </row>
    <row r="110" spans="1:13">
      <c r="A110" s="727" t="s">
        <v>633</v>
      </c>
      <c r="B110" s="703">
        <v>312</v>
      </c>
      <c r="C110" s="629" t="s">
        <v>278</v>
      </c>
      <c r="D110" s="414">
        <v>1000</v>
      </c>
      <c r="E110" s="414"/>
      <c r="F110" s="414" t="s">
        <v>474</v>
      </c>
      <c r="G110" s="211">
        <v>167121113</v>
      </c>
      <c r="H110" s="414" t="s">
        <v>474</v>
      </c>
      <c r="I110" s="630">
        <v>167121113</v>
      </c>
      <c r="J110" s="724"/>
      <c r="L110" s="728">
        <f>SUMIF(T198_TB!$E:$E,TB!B110,T198_TB!$L:$L)</f>
        <v>221476500</v>
      </c>
      <c r="M110" s="726">
        <f t="shared" si="1"/>
        <v>-54355387</v>
      </c>
    </row>
    <row r="111" spans="1:13">
      <c r="A111" s="727" t="s">
        <v>633</v>
      </c>
      <c r="B111" s="703">
        <v>327</v>
      </c>
      <c r="C111" s="629" t="s">
        <v>306</v>
      </c>
      <c r="D111" s="414">
        <v>1000</v>
      </c>
      <c r="E111" s="414"/>
      <c r="F111" s="414" t="s">
        <v>474</v>
      </c>
      <c r="G111" s="211">
        <v>214585686</v>
      </c>
      <c r="H111" s="414" t="s">
        <v>474</v>
      </c>
      <c r="I111" s="630">
        <v>214585686</v>
      </c>
      <c r="J111" s="724"/>
      <c r="L111" s="728">
        <f>SUMIF(T198_TB!$E:$E,TB!B111,T198_TB!$L:$L)</f>
        <v>245219711</v>
      </c>
      <c r="M111" s="726">
        <f t="shared" si="1"/>
        <v>-30634025</v>
      </c>
    </row>
    <row r="112" spans="1:13">
      <c r="A112" s="727" t="s">
        <v>633</v>
      </c>
      <c r="B112" s="703">
        <v>313</v>
      </c>
      <c r="C112" s="629" t="s">
        <v>280</v>
      </c>
      <c r="D112" s="414">
        <v>1000</v>
      </c>
      <c r="E112" s="414"/>
      <c r="F112" s="414" t="s">
        <v>474</v>
      </c>
      <c r="G112" s="211">
        <v>21151528</v>
      </c>
      <c r="H112" s="414" t="s">
        <v>474</v>
      </c>
      <c r="I112" s="630">
        <v>21151528</v>
      </c>
      <c r="J112" s="724"/>
      <c r="L112" s="728">
        <f>SUMIF(T198_TB!$E:$E,TB!B112,T198_TB!$L:$L)</f>
        <v>38076323</v>
      </c>
      <c r="M112" s="726">
        <f t="shared" si="1"/>
        <v>-16924795</v>
      </c>
    </row>
    <row r="113" spans="1:13">
      <c r="A113" s="727" t="s">
        <v>633</v>
      </c>
      <c r="B113" s="703">
        <v>306</v>
      </c>
      <c r="C113" s="629" t="s">
        <v>268</v>
      </c>
      <c r="D113" s="414">
        <v>1000</v>
      </c>
      <c r="E113" s="414"/>
      <c r="F113" s="414" t="s">
        <v>474</v>
      </c>
      <c r="G113" s="211">
        <v>48959779</v>
      </c>
      <c r="H113" s="414" t="s">
        <v>474</v>
      </c>
      <c r="I113" s="630">
        <v>48959779</v>
      </c>
      <c r="J113" s="724"/>
      <c r="L113" s="728">
        <f>SUMIF(T198_TB!$E:$E,TB!B113,T198_TB!$L:$L)</f>
        <v>74742706</v>
      </c>
      <c r="M113" s="726">
        <f t="shared" si="1"/>
        <v>-25782927</v>
      </c>
    </row>
    <row r="114" spans="1:13">
      <c r="A114" s="727" t="s">
        <v>633</v>
      </c>
      <c r="B114" s="703">
        <v>322</v>
      </c>
      <c r="C114" s="629" t="s">
        <v>298</v>
      </c>
      <c r="D114" s="414">
        <v>1000</v>
      </c>
      <c r="E114" s="414"/>
      <c r="F114" s="414" t="s">
        <v>474</v>
      </c>
      <c r="G114" s="211">
        <v>6152327444</v>
      </c>
      <c r="H114" s="414" t="s">
        <v>474</v>
      </c>
      <c r="I114" s="630">
        <v>6152327444</v>
      </c>
      <c r="J114" s="724"/>
      <c r="L114" s="728">
        <f>SUMIF(T198_TB!$E:$E,TB!B114,T198_TB!$L:$L)</f>
        <v>7507088261</v>
      </c>
      <c r="M114" s="726">
        <f t="shared" si="1"/>
        <v>-1354760817</v>
      </c>
    </row>
    <row r="115" spans="1:13">
      <c r="A115" s="727" t="s">
        <v>633</v>
      </c>
      <c r="B115" s="703">
        <v>308</v>
      </c>
      <c r="C115" s="629" t="s">
        <v>272</v>
      </c>
      <c r="D115" s="414">
        <v>1000</v>
      </c>
      <c r="E115" s="414"/>
      <c r="F115" s="414" t="s">
        <v>474</v>
      </c>
      <c r="G115" s="211">
        <v>56927821</v>
      </c>
      <c r="H115" s="414" t="s">
        <v>474</v>
      </c>
      <c r="I115" s="630">
        <v>56927821</v>
      </c>
      <c r="J115" s="724"/>
      <c r="L115" s="728">
        <f>SUMIF(T198_TB!$E:$E,TB!B115,T198_TB!$L:$L)</f>
        <v>71626799</v>
      </c>
      <c r="M115" s="726">
        <f t="shared" si="1"/>
        <v>-14698978</v>
      </c>
    </row>
    <row r="116" spans="1:13">
      <c r="A116" s="727" t="s">
        <v>633</v>
      </c>
      <c r="B116" s="703">
        <v>316</v>
      </c>
      <c r="C116" s="629" t="s">
        <v>286</v>
      </c>
      <c r="D116" s="414">
        <v>1000</v>
      </c>
      <c r="E116" s="414"/>
      <c r="F116" s="414" t="s">
        <v>474</v>
      </c>
      <c r="G116" s="211">
        <v>219135659</v>
      </c>
      <c r="H116" s="414" t="s">
        <v>474</v>
      </c>
      <c r="I116" s="630">
        <v>219135659</v>
      </c>
      <c r="J116" s="724"/>
      <c r="L116" s="728">
        <f>SUMIF(T198_TB!$E:$E,TB!B116,T198_TB!$L:$L)</f>
        <v>269515934</v>
      </c>
      <c r="M116" s="726">
        <f t="shared" si="1"/>
        <v>-50380275</v>
      </c>
    </row>
    <row r="117" spans="1:13">
      <c r="A117" s="727" t="s">
        <v>633</v>
      </c>
      <c r="B117" s="703">
        <v>317</v>
      </c>
      <c r="C117" s="629" t="s">
        <v>288</v>
      </c>
      <c r="D117" s="414">
        <v>1000</v>
      </c>
      <c r="E117" s="414"/>
      <c r="F117" s="414" t="s">
        <v>474</v>
      </c>
      <c r="G117" s="211">
        <v>49884923</v>
      </c>
      <c r="H117" s="414" t="s">
        <v>474</v>
      </c>
      <c r="I117" s="630">
        <v>49884923</v>
      </c>
      <c r="J117" s="724"/>
      <c r="L117" s="728">
        <f>SUMIF(T198_TB!$E:$E,TB!B117,T198_TB!$L:$L)</f>
        <v>95049509</v>
      </c>
      <c r="M117" s="726">
        <f t="shared" si="1"/>
        <v>-45164586</v>
      </c>
    </row>
    <row r="118" spans="1:13">
      <c r="A118" s="727" t="s">
        <v>633</v>
      </c>
      <c r="B118" s="703">
        <v>321</v>
      </c>
      <c r="C118" s="629" t="s">
        <v>296</v>
      </c>
      <c r="D118" s="414">
        <v>1000</v>
      </c>
      <c r="E118" s="414"/>
      <c r="F118" s="414" t="s">
        <v>474</v>
      </c>
      <c r="G118" s="211">
        <v>8858891402</v>
      </c>
      <c r="H118" s="414" t="s">
        <v>474</v>
      </c>
      <c r="I118" s="630">
        <v>8858891402</v>
      </c>
      <c r="J118" s="724"/>
      <c r="L118" s="728">
        <f>SUMIF(T198_TB!$E:$E,TB!B118,T198_TB!$L:$L)</f>
        <v>12079400941</v>
      </c>
      <c r="M118" s="726">
        <f t="shared" si="1"/>
        <v>-3220509539</v>
      </c>
    </row>
    <row r="119" spans="1:13">
      <c r="A119" s="727" t="s">
        <v>633</v>
      </c>
      <c r="B119" s="703">
        <v>320</v>
      </c>
      <c r="C119" s="629" t="s">
        <v>294</v>
      </c>
      <c r="D119" s="414">
        <v>1000</v>
      </c>
      <c r="E119" s="414"/>
      <c r="F119" s="414" t="s">
        <v>474</v>
      </c>
      <c r="G119" s="211">
        <v>71806900</v>
      </c>
      <c r="H119" s="414" t="s">
        <v>474</v>
      </c>
      <c r="I119" s="630">
        <v>71806900</v>
      </c>
      <c r="J119" s="724"/>
      <c r="L119" s="728">
        <f>SUMIF(T198_TB!$E:$E,TB!B119,T198_TB!$L:$L)</f>
        <v>102832023</v>
      </c>
      <c r="M119" s="726">
        <f t="shared" si="1"/>
        <v>-31025123</v>
      </c>
    </row>
    <row r="120" spans="1:13">
      <c r="A120" s="727" t="s">
        <v>633</v>
      </c>
      <c r="B120" s="703">
        <v>319</v>
      </c>
      <c r="C120" s="629" t="s">
        <v>292</v>
      </c>
      <c r="D120" s="414">
        <v>1000</v>
      </c>
      <c r="E120" s="414"/>
      <c r="F120" s="414" t="s">
        <v>474</v>
      </c>
      <c r="G120" s="211">
        <v>7347669</v>
      </c>
      <c r="H120" s="414" t="s">
        <v>474</v>
      </c>
      <c r="I120" s="630">
        <v>7347669</v>
      </c>
      <c r="J120" s="724"/>
      <c r="L120" s="728">
        <f>SUMIF(T198_TB!$E:$E,TB!B120,T198_TB!$L:$L)</f>
        <v>11041081</v>
      </c>
      <c r="M120" s="726">
        <f t="shared" si="1"/>
        <v>-3693412</v>
      </c>
    </row>
    <row r="121" spans="1:13">
      <c r="A121" s="727" t="s">
        <v>633</v>
      </c>
      <c r="B121" s="703">
        <v>318</v>
      </c>
      <c r="C121" s="629" t="s">
        <v>290</v>
      </c>
      <c r="D121" s="414">
        <v>1000</v>
      </c>
      <c r="E121" s="414"/>
      <c r="F121" s="414" t="s">
        <v>474</v>
      </c>
      <c r="G121" s="211">
        <v>28259778</v>
      </c>
      <c r="H121" s="414" t="s">
        <v>474</v>
      </c>
      <c r="I121" s="630">
        <v>28259778</v>
      </c>
      <c r="J121" s="724"/>
      <c r="L121" s="728">
        <f>SUMIF(T198_TB!$E:$E,TB!B121,T198_TB!$L:$L)</f>
        <v>49223609</v>
      </c>
      <c r="M121" s="726">
        <f t="shared" si="1"/>
        <v>-20963831</v>
      </c>
    </row>
    <row r="122" spans="1:13">
      <c r="A122" s="727" t="s">
        <v>633</v>
      </c>
      <c r="B122" s="703">
        <v>314</v>
      </c>
      <c r="C122" s="629" t="s">
        <v>282</v>
      </c>
      <c r="D122" s="414">
        <v>1000</v>
      </c>
      <c r="E122" s="414"/>
      <c r="F122" s="414" t="s">
        <v>474</v>
      </c>
      <c r="G122" s="211">
        <v>22071603</v>
      </c>
      <c r="H122" s="414" t="s">
        <v>474</v>
      </c>
      <c r="I122" s="630">
        <v>22071603</v>
      </c>
      <c r="J122" s="724"/>
      <c r="L122" s="728">
        <f>SUMIF(T198_TB!$E:$E,TB!B122,T198_TB!$L:$L)</f>
        <v>32664446</v>
      </c>
      <c r="M122" s="726">
        <f t="shared" si="1"/>
        <v>-10592843</v>
      </c>
    </row>
    <row r="123" spans="1:13">
      <c r="A123" s="727" t="s">
        <v>633</v>
      </c>
      <c r="B123" s="703">
        <v>324</v>
      </c>
      <c r="C123" s="629" t="s">
        <v>302</v>
      </c>
      <c r="D123" s="414">
        <v>1000</v>
      </c>
      <c r="E123" s="414"/>
      <c r="F123" s="414" t="s">
        <v>474</v>
      </c>
      <c r="G123" s="211">
        <v>214584279</v>
      </c>
      <c r="H123" s="414" t="s">
        <v>474</v>
      </c>
      <c r="I123" s="630">
        <v>214584279</v>
      </c>
      <c r="J123" s="724"/>
      <c r="L123" s="728">
        <f>SUMIF(T198_TB!$E:$E,TB!B123,T198_TB!$L:$L)</f>
        <v>-28983221</v>
      </c>
      <c r="M123" s="726">
        <f t="shared" si="1"/>
        <v>243567500</v>
      </c>
    </row>
    <row r="124" spans="1:13">
      <c r="A124" s="727" t="s">
        <v>633</v>
      </c>
      <c r="B124" s="703">
        <v>315</v>
      </c>
      <c r="C124" s="629" t="s">
        <v>284</v>
      </c>
      <c r="D124" s="414">
        <v>1000</v>
      </c>
      <c r="E124" s="414"/>
      <c r="F124" s="414" t="s">
        <v>474</v>
      </c>
      <c r="G124" s="211">
        <v>1488146980</v>
      </c>
      <c r="H124" s="414" t="s">
        <v>474</v>
      </c>
      <c r="I124" s="630">
        <v>1488146980</v>
      </c>
      <c r="J124" s="724"/>
      <c r="L124" s="728">
        <f>SUMIF(T198_TB!$E:$E,TB!B124,T198_TB!$L:$L)</f>
        <v>2152821079</v>
      </c>
      <c r="M124" s="726">
        <f t="shared" si="1"/>
        <v>-664674099</v>
      </c>
    </row>
    <row r="125" spans="1:13">
      <c r="A125" s="727" t="s">
        <v>633</v>
      </c>
      <c r="B125" s="703">
        <v>323</v>
      </c>
      <c r="C125" s="629" t="s">
        <v>300</v>
      </c>
      <c r="D125" s="414">
        <v>1000</v>
      </c>
      <c r="E125" s="414"/>
      <c r="F125" s="414" t="s">
        <v>474</v>
      </c>
      <c r="G125" s="211">
        <v>150244488</v>
      </c>
      <c r="H125" s="414" t="s">
        <v>474</v>
      </c>
      <c r="I125" s="630">
        <v>150244488</v>
      </c>
      <c r="J125" s="724"/>
      <c r="L125" s="728">
        <f>SUMIF(T198_TB!$E:$E,TB!B125,T198_TB!$L:$L)</f>
        <v>165746244</v>
      </c>
      <c r="M125" s="726">
        <f t="shared" si="1"/>
        <v>-15501756</v>
      </c>
    </row>
    <row r="126" spans="1:13">
      <c r="A126" s="727" t="s">
        <v>633</v>
      </c>
      <c r="B126" s="703">
        <v>325</v>
      </c>
      <c r="C126" s="629" t="s">
        <v>304</v>
      </c>
      <c r="D126" s="414">
        <v>1000</v>
      </c>
      <c r="E126" s="414"/>
      <c r="F126" s="414" t="s">
        <v>474</v>
      </c>
      <c r="G126" s="211">
        <v>159787089</v>
      </c>
      <c r="H126" s="414" t="s">
        <v>474</v>
      </c>
      <c r="I126" s="630">
        <v>159787089</v>
      </c>
      <c r="J126" s="724"/>
      <c r="L126" s="728">
        <f>SUMIF(T198_TB!$E:$E,TB!B126,T198_TB!$L:$L)</f>
        <v>211007300</v>
      </c>
      <c r="M126" s="726">
        <f t="shared" si="1"/>
        <v>-51220211</v>
      </c>
    </row>
    <row r="127" spans="1:13">
      <c r="A127" s="727" t="s">
        <v>633</v>
      </c>
      <c r="B127" s="703">
        <v>328</v>
      </c>
      <c r="C127" s="629" t="s">
        <v>308</v>
      </c>
      <c r="D127" s="414">
        <v>1000</v>
      </c>
      <c r="E127" s="414"/>
      <c r="F127" s="414" t="s">
        <v>474</v>
      </c>
      <c r="G127" s="211">
        <v>438176490</v>
      </c>
      <c r="H127" s="414" t="s">
        <v>474</v>
      </c>
      <c r="I127" s="630">
        <v>438176490</v>
      </c>
      <c r="J127" s="724"/>
      <c r="L127" s="728">
        <f>SUMIF(T198_TB!$E:$E,TB!B127,T198_TB!$L:$L)</f>
        <v>560183581</v>
      </c>
      <c r="M127" s="726">
        <f t="shared" si="1"/>
        <v>-122007091</v>
      </c>
    </row>
    <row r="128" spans="1:13">
      <c r="A128" s="727" t="s">
        <v>633</v>
      </c>
      <c r="B128" s="703">
        <v>331</v>
      </c>
      <c r="C128" s="629" t="s">
        <v>310</v>
      </c>
      <c r="D128" s="414">
        <v>1000</v>
      </c>
      <c r="E128" s="414"/>
      <c r="F128" s="414" t="s">
        <v>474</v>
      </c>
      <c r="G128" s="211">
        <v>6083829</v>
      </c>
      <c r="H128" s="414" t="s">
        <v>474</v>
      </c>
      <c r="I128" s="630">
        <v>6083829</v>
      </c>
      <c r="J128" s="724"/>
      <c r="L128" s="728">
        <f>SUMIF(T198_TB!$E:$E,TB!B128,T198_TB!$L:$L)</f>
        <v>15816486</v>
      </c>
      <c r="M128" s="726">
        <f t="shared" si="1"/>
        <v>-9732657</v>
      </c>
    </row>
    <row r="129" spans="1:13">
      <c r="A129" s="727" t="s">
        <v>633</v>
      </c>
      <c r="B129" s="703">
        <v>329</v>
      </c>
      <c r="C129" s="629" t="s">
        <v>312</v>
      </c>
      <c r="D129" s="414">
        <v>1000</v>
      </c>
      <c r="E129" s="414"/>
      <c r="F129" s="414" t="s">
        <v>474</v>
      </c>
      <c r="G129" s="211">
        <v>820021869</v>
      </c>
      <c r="H129" s="414" t="s">
        <v>474</v>
      </c>
      <c r="I129" s="630">
        <v>820021869</v>
      </c>
      <c r="J129" s="724"/>
      <c r="L129" s="728">
        <f>SUMIF(T198_TB!$E:$E,TB!B129,T198_TB!$L:$L)</f>
        <v>1190766507</v>
      </c>
      <c r="M129" s="726">
        <f t="shared" si="1"/>
        <v>-370744638</v>
      </c>
    </row>
    <row r="130" spans="1:13">
      <c r="A130" s="727" t="s">
        <v>633</v>
      </c>
      <c r="B130" s="703">
        <v>303</v>
      </c>
      <c r="C130" s="629" t="s">
        <v>760</v>
      </c>
      <c r="D130" s="414">
        <v>1000</v>
      </c>
      <c r="E130" s="414"/>
      <c r="F130" s="414" t="s">
        <v>474</v>
      </c>
      <c r="G130" s="211">
        <v>869812452</v>
      </c>
      <c r="H130" s="414" t="s">
        <v>474</v>
      </c>
      <c r="I130" s="630">
        <v>869812452</v>
      </c>
      <c r="J130" s="724"/>
      <c r="L130" s="728">
        <f>SUMIF(T198_TB!$E:$E,TB!B130,T198_TB!$L:$L)</f>
        <v>886857714</v>
      </c>
      <c r="M130" s="726">
        <f t="shared" si="1"/>
        <v>-17045262</v>
      </c>
    </row>
    <row r="131" spans="1:13">
      <c r="A131" s="727" t="s">
        <v>633</v>
      </c>
      <c r="B131" s="703">
        <v>401</v>
      </c>
      <c r="C131" s="629" t="s">
        <v>674</v>
      </c>
      <c r="D131" s="414">
        <v>1000</v>
      </c>
      <c r="E131" s="414"/>
      <c r="F131" s="414" t="s">
        <v>474</v>
      </c>
      <c r="G131" s="211">
        <v>-499863792</v>
      </c>
      <c r="H131" s="414" t="s">
        <v>474</v>
      </c>
      <c r="I131" s="630">
        <v>-499863792</v>
      </c>
      <c r="J131" s="724"/>
      <c r="L131" s="728">
        <f>SUMIF(T198_TB!$E:$E,TB!B131,T198_TB!$L:$L)</f>
        <v>-595479755</v>
      </c>
      <c r="M131" s="726">
        <f>IF(I131=L131,"TRUE",I131-L131)</f>
        <v>95615963</v>
      </c>
    </row>
    <row r="132" spans="1:13">
      <c r="A132" s="726" t="s">
        <v>633</v>
      </c>
      <c r="B132" s="703">
        <v>402</v>
      </c>
      <c r="C132" s="629" t="s">
        <v>675</v>
      </c>
      <c r="D132" s="414">
        <v>1000</v>
      </c>
      <c r="E132" s="414"/>
      <c r="F132" s="414" t="s">
        <v>474</v>
      </c>
      <c r="G132" s="211">
        <v>-309405782</v>
      </c>
      <c r="H132" s="414" t="s">
        <v>474</v>
      </c>
      <c r="I132" s="630">
        <v>-309405782</v>
      </c>
      <c r="L132" s="728">
        <f>SUMIF(T198_TB!$E:$E,TB!B132,T198_TB!$L:$L)</f>
        <v>-391929068</v>
      </c>
      <c r="M132" s="726">
        <f>IF(I132=L132,"TRUE",I132-L132)</f>
        <v>82523286</v>
      </c>
    </row>
    <row r="133" spans="1:13">
      <c r="A133" s="726" t="s">
        <v>633</v>
      </c>
      <c r="B133" s="703">
        <v>403</v>
      </c>
      <c r="C133" s="629" t="s">
        <v>676</v>
      </c>
      <c r="D133" s="414">
        <v>1000</v>
      </c>
      <c r="E133" s="414"/>
      <c r="F133" s="414" t="s">
        <v>474</v>
      </c>
      <c r="G133" s="211">
        <v>-144533089</v>
      </c>
      <c r="H133" s="414" t="s">
        <v>474</v>
      </c>
      <c r="I133" s="630">
        <v>-144533089</v>
      </c>
      <c r="L133" s="728">
        <f>SUMIF(T198_TB!$E:$E,TB!B133,T198_TB!$L:$L)</f>
        <v>-48978076</v>
      </c>
      <c r="M133" s="726">
        <f t="shared" ref="M133:M157" si="2">IF(I133=L133,"TRUE",I133-L133)</f>
        <v>-95555013</v>
      </c>
    </row>
    <row r="134" spans="1:13">
      <c r="A134" s="726" t="s">
        <v>633</v>
      </c>
      <c r="B134" s="703">
        <v>404</v>
      </c>
      <c r="C134" s="629" t="s">
        <v>677</v>
      </c>
      <c r="D134" s="414">
        <v>1000</v>
      </c>
      <c r="E134" s="414"/>
      <c r="F134" s="414" t="s">
        <v>474</v>
      </c>
      <c r="G134" s="211">
        <v>0</v>
      </c>
      <c r="H134" s="414" t="s">
        <v>474</v>
      </c>
      <c r="I134" s="630">
        <v>0</v>
      </c>
      <c r="L134" s="728">
        <f>SUMIF(T198_TB!$E:$E,TB!B134,T198_TB!$L:$L)</f>
        <v>0</v>
      </c>
      <c r="M134" s="726" t="str">
        <f t="shared" si="2"/>
        <v>TRUE</v>
      </c>
    </row>
    <row r="135" spans="1:13">
      <c r="A135" s="726" t="s">
        <v>633</v>
      </c>
      <c r="B135" s="703">
        <v>405</v>
      </c>
      <c r="C135" s="629" t="s">
        <v>678</v>
      </c>
      <c r="D135" s="414">
        <v>1000</v>
      </c>
      <c r="E135" s="414"/>
      <c r="F135" s="414" t="s">
        <v>474</v>
      </c>
      <c r="G135" s="211">
        <v>0</v>
      </c>
      <c r="H135" s="414" t="s">
        <v>474</v>
      </c>
      <c r="I135" s="630">
        <v>0</v>
      </c>
      <c r="L135" s="728">
        <f>SUMIF(T198_TB!$E:$E,TB!B135,T198_TB!$L:$L)</f>
        <v>0</v>
      </c>
      <c r="M135" s="726" t="str">
        <f t="shared" si="2"/>
        <v>TRUE</v>
      </c>
    </row>
    <row r="136" spans="1:13">
      <c r="A136" s="726" t="s">
        <v>633</v>
      </c>
      <c r="B136" s="703">
        <v>602</v>
      </c>
      <c r="C136" s="629" t="s">
        <v>679</v>
      </c>
      <c r="D136" s="414">
        <v>1000</v>
      </c>
      <c r="E136" s="414"/>
      <c r="F136" s="414" t="s">
        <v>474</v>
      </c>
      <c r="G136" s="211">
        <v>0</v>
      </c>
      <c r="H136" s="414" t="s">
        <v>474</v>
      </c>
      <c r="I136" s="630">
        <v>0</v>
      </c>
      <c r="L136" s="728">
        <f>SUMIF(T198_TB!$E:$E,TB!B136,T198_TB!$L:$L)</f>
        <v>-2240200</v>
      </c>
      <c r="M136" s="726">
        <f t="shared" si="2"/>
        <v>2240200</v>
      </c>
    </row>
    <row r="137" spans="1:13">
      <c r="A137" s="726" t="s">
        <v>633</v>
      </c>
      <c r="B137" s="703">
        <v>604</v>
      </c>
      <c r="C137" s="629" t="s">
        <v>680</v>
      </c>
      <c r="D137" s="414">
        <v>1000</v>
      </c>
      <c r="E137" s="414"/>
      <c r="F137" s="414" t="s">
        <v>474</v>
      </c>
      <c r="G137" s="211">
        <v>0</v>
      </c>
      <c r="H137" s="414" t="s">
        <v>474</v>
      </c>
      <c r="I137" s="630">
        <v>0</v>
      </c>
      <c r="L137" s="728">
        <f>SUMIF(T198_TB!$E:$E,TB!B137,T198_TB!$L:$L)</f>
        <v>0</v>
      </c>
      <c r="M137" s="726" t="str">
        <f t="shared" si="2"/>
        <v>TRUE</v>
      </c>
    </row>
    <row r="138" spans="1:13">
      <c r="A138" s="726" t="s">
        <v>633</v>
      </c>
      <c r="B138" s="703">
        <v>603</v>
      </c>
      <c r="C138" s="629" t="s">
        <v>681</v>
      </c>
      <c r="D138" s="414">
        <v>1000</v>
      </c>
      <c r="E138" s="414"/>
      <c r="F138" s="414" t="s">
        <v>474</v>
      </c>
      <c r="G138" s="211">
        <v>-70088560</v>
      </c>
      <c r="H138" s="414" t="s">
        <v>474</v>
      </c>
      <c r="I138" s="630">
        <v>-70088560</v>
      </c>
      <c r="L138" s="728">
        <f>SUMIF(T198_TB!$E:$E,TB!B138,T198_TB!$L:$L)</f>
        <v>-197174085</v>
      </c>
      <c r="M138" s="726">
        <f t="shared" si="2"/>
        <v>127085525</v>
      </c>
    </row>
    <row r="139" spans="1:13">
      <c r="A139" s="726" t="s">
        <v>633</v>
      </c>
      <c r="B139" s="704">
        <v>501</v>
      </c>
      <c r="C139" s="634" t="s">
        <v>682</v>
      </c>
      <c r="D139" s="414">
        <v>1000</v>
      </c>
      <c r="E139" s="414"/>
      <c r="F139" s="414" t="s">
        <v>474</v>
      </c>
      <c r="G139" s="211">
        <v>341958</v>
      </c>
      <c r="H139" s="414" t="s">
        <v>474</v>
      </c>
      <c r="I139" s="630">
        <v>341958</v>
      </c>
      <c r="L139" s="728">
        <f>SUMIF(T198_TB!$E:$E,TB!B139,T198_TB!$L:$L)</f>
        <v>0</v>
      </c>
      <c r="M139" s="726">
        <f t="shared" si="2"/>
        <v>341958</v>
      </c>
    </row>
    <row r="140" spans="1:13">
      <c r="A140" s="726" t="s">
        <v>633</v>
      </c>
      <c r="B140" s="704">
        <v>505</v>
      </c>
      <c r="C140" s="634" t="s">
        <v>1654</v>
      </c>
      <c r="D140" s="414">
        <v>1000</v>
      </c>
      <c r="E140" s="414"/>
      <c r="F140" s="414" t="s">
        <v>474</v>
      </c>
      <c r="G140" s="211">
        <v>124938956</v>
      </c>
      <c r="H140" s="414" t="s">
        <v>474</v>
      </c>
      <c r="I140" s="630">
        <v>124938956</v>
      </c>
      <c r="L140" s="728">
        <f>SUMIF(T198_TB!$E:$E,TB!B140,T198_TB!$L:$L)</f>
        <v>172075657</v>
      </c>
      <c r="M140" s="726">
        <f t="shared" si="2"/>
        <v>-47136701</v>
      </c>
    </row>
    <row r="141" spans="1:13">
      <c r="A141" s="726" t="s">
        <v>633</v>
      </c>
      <c r="B141" s="704">
        <v>502</v>
      </c>
      <c r="C141" s="634" t="s">
        <v>683</v>
      </c>
      <c r="D141" s="414">
        <v>1000</v>
      </c>
      <c r="E141" s="414"/>
      <c r="F141" s="414" t="s">
        <v>474</v>
      </c>
      <c r="G141" s="211">
        <v>166476327</v>
      </c>
      <c r="H141" s="414" t="s">
        <v>474</v>
      </c>
      <c r="I141" s="630">
        <v>166476327</v>
      </c>
      <c r="L141" s="728">
        <f>SUMIF(T198_TB!$E:$E,TB!B141,T198_TB!$L:$L)</f>
        <v>561279541</v>
      </c>
      <c r="M141" s="726">
        <f t="shared" si="2"/>
        <v>-394803214</v>
      </c>
    </row>
    <row r="142" spans="1:13">
      <c r="A142" s="726" t="s">
        <v>633</v>
      </c>
      <c r="B142" s="704">
        <v>503</v>
      </c>
      <c r="C142" s="634" t="s">
        <v>684</v>
      </c>
      <c r="D142" s="414">
        <v>1000</v>
      </c>
      <c r="E142" s="414"/>
      <c r="F142" s="414" t="s">
        <v>474</v>
      </c>
      <c r="G142" s="211">
        <v>145026303</v>
      </c>
      <c r="H142" s="414" t="s">
        <v>474</v>
      </c>
      <c r="I142" s="630">
        <v>145026303</v>
      </c>
      <c r="L142" s="728">
        <f>SUMIF(T198_TB!$E:$E,TB!B142,T198_TB!$L:$L)</f>
        <v>2170624184</v>
      </c>
      <c r="M142" s="726">
        <f t="shared" si="2"/>
        <v>-2025597881</v>
      </c>
    </row>
    <row r="143" spans="1:13">
      <c r="A143" s="726" t="s">
        <v>633</v>
      </c>
      <c r="B143" s="704">
        <v>504</v>
      </c>
      <c r="C143" s="634" t="s">
        <v>685</v>
      </c>
      <c r="D143" s="414">
        <v>1000</v>
      </c>
      <c r="E143" s="414"/>
      <c r="F143" s="414" t="s">
        <v>474</v>
      </c>
      <c r="G143" s="211">
        <v>0</v>
      </c>
      <c r="H143" s="414" t="s">
        <v>474</v>
      </c>
      <c r="I143" s="630">
        <v>0</v>
      </c>
      <c r="L143" s="728">
        <f>SUMIF(T198_TB!$E:$E,TB!B143,T198_TB!$L:$L)</f>
        <v>996359683</v>
      </c>
      <c r="M143" s="726">
        <f t="shared" si="2"/>
        <v>-996359683</v>
      </c>
    </row>
    <row r="144" spans="1:13">
      <c r="A144" s="726" t="s">
        <v>633</v>
      </c>
      <c r="B144" s="704">
        <v>333</v>
      </c>
      <c r="C144" s="634" t="s">
        <v>686</v>
      </c>
      <c r="D144" s="414">
        <v>1000</v>
      </c>
      <c r="E144" s="414"/>
      <c r="F144" s="414" t="s">
        <v>474</v>
      </c>
      <c r="G144" s="211">
        <v>0</v>
      </c>
      <c r="H144" s="414" t="s">
        <v>474</v>
      </c>
      <c r="I144" s="630">
        <v>0</v>
      </c>
      <c r="L144" s="728">
        <f>SUMIF(T198_TB!$E:$E,TB!B144,T198_TB!$L:$L)</f>
        <v>0</v>
      </c>
      <c r="M144" s="726" t="str">
        <f t="shared" si="2"/>
        <v>TRUE</v>
      </c>
    </row>
    <row r="145" spans="1:13">
      <c r="A145" s="726" t="s">
        <v>633</v>
      </c>
      <c r="B145" s="704">
        <v>907</v>
      </c>
      <c r="C145" s="634" t="s">
        <v>2020</v>
      </c>
      <c r="D145" s="414">
        <v>1000</v>
      </c>
      <c r="E145" s="414"/>
      <c r="F145" s="414" t="s">
        <v>474</v>
      </c>
      <c r="G145" s="211">
        <v>0</v>
      </c>
      <c r="H145" s="414" t="s">
        <v>474</v>
      </c>
      <c r="I145" s="630">
        <v>0</v>
      </c>
      <c r="L145" s="728">
        <f>SUMIF(T198_TB!$E:$E,TB!B145,T198_TB!$L:$L)</f>
        <v>0</v>
      </c>
      <c r="M145" s="726" t="str">
        <f t="shared" si="2"/>
        <v>TRUE</v>
      </c>
    </row>
    <row r="146" spans="1:13">
      <c r="A146" s="726" t="s">
        <v>633</v>
      </c>
      <c r="B146" s="704">
        <v>706</v>
      </c>
      <c r="C146" s="634" t="s">
        <v>687</v>
      </c>
      <c r="D146" s="414">
        <v>1000</v>
      </c>
      <c r="E146" s="414"/>
      <c r="F146" s="414" t="s">
        <v>474</v>
      </c>
      <c r="G146" s="211">
        <v>0</v>
      </c>
      <c r="H146" s="414" t="s">
        <v>474</v>
      </c>
      <c r="I146" s="630">
        <v>0</v>
      </c>
      <c r="L146" s="728">
        <f>SUMIF(T198_TB!$E:$E,TB!B146,T198_TB!$L:$L)</f>
        <v>5548640215</v>
      </c>
      <c r="M146" s="726">
        <f t="shared" si="2"/>
        <v>-5548640215</v>
      </c>
    </row>
    <row r="147" spans="1:13">
      <c r="A147" s="726" t="s">
        <v>633</v>
      </c>
      <c r="B147" s="704">
        <v>702</v>
      </c>
      <c r="C147" s="634" t="s">
        <v>734</v>
      </c>
      <c r="D147" s="414">
        <v>1000</v>
      </c>
      <c r="E147" s="414"/>
      <c r="F147" s="414" t="s">
        <v>474</v>
      </c>
      <c r="G147" s="211">
        <v>0</v>
      </c>
      <c r="H147" s="414" t="s">
        <v>474</v>
      </c>
      <c r="I147" s="630">
        <v>0</v>
      </c>
      <c r="L147" s="728">
        <f>SUMIF(T198_TB!$E:$E,TB!B147,T198_TB!$L:$L)</f>
        <v>0</v>
      </c>
      <c r="M147" s="726" t="str">
        <f t="shared" si="2"/>
        <v>TRUE</v>
      </c>
    </row>
    <row r="148" spans="1:13">
      <c r="A148" s="726" t="s">
        <v>633</v>
      </c>
      <c r="B148" s="704">
        <v>701</v>
      </c>
      <c r="C148" s="634" t="s">
        <v>688</v>
      </c>
      <c r="D148" s="414">
        <v>1000</v>
      </c>
      <c r="E148" s="414"/>
      <c r="F148" s="414" t="s">
        <v>474</v>
      </c>
      <c r="G148" s="211">
        <v>1000</v>
      </c>
      <c r="H148" s="414" t="s">
        <v>474</v>
      </c>
      <c r="I148" s="630">
        <v>1000</v>
      </c>
      <c r="L148" s="728">
        <f>SUMIF(T198_TB!$E:$E,TB!B148,T198_TB!$L:$L)</f>
        <v>1000</v>
      </c>
      <c r="M148" s="726" t="str">
        <f t="shared" si="2"/>
        <v>TRUE</v>
      </c>
    </row>
    <row r="149" spans="1:13">
      <c r="A149" s="726" t="s">
        <v>633</v>
      </c>
      <c r="B149" s="704">
        <v>705</v>
      </c>
      <c r="C149" s="634" t="s">
        <v>736</v>
      </c>
      <c r="D149" s="414">
        <v>1000</v>
      </c>
      <c r="E149" s="414"/>
      <c r="F149" s="414" t="s">
        <v>474</v>
      </c>
      <c r="G149" s="211">
        <v>1000</v>
      </c>
      <c r="H149" s="414" t="s">
        <v>474</v>
      </c>
      <c r="I149" s="630">
        <v>1000</v>
      </c>
      <c r="L149" s="728">
        <f>SUMIF(T198_TB!$E:$E,TB!B149,T198_TB!$L:$L)</f>
        <v>598158</v>
      </c>
      <c r="M149" s="726">
        <f t="shared" si="2"/>
        <v>-597158</v>
      </c>
    </row>
    <row r="150" spans="1:13">
      <c r="A150" s="726" t="s">
        <v>633</v>
      </c>
      <c r="B150" s="704">
        <v>703</v>
      </c>
      <c r="C150" s="634" t="s">
        <v>764</v>
      </c>
      <c r="D150" s="414">
        <v>1000</v>
      </c>
      <c r="E150" s="414"/>
      <c r="F150" s="414" t="s">
        <v>474</v>
      </c>
      <c r="G150" s="211">
        <v>-622003191</v>
      </c>
      <c r="H150" s="414" t="s">
        <v>474</v>
      </c>
      <c r="I150" s="630">
        <v>-622003191</v>
      </c>
      <c r="L150" s="728">
        <f>SUMIF(T198_TB!$E:$E,TB!B150,T198_TB!$L:$L)</f>
        <v>3577996809</v>
      </c>
      <c r="M150" s="726">
        <f t="shared" si="2"/>
        <v>-4200000000</v>
      </c>
    </row>
    <row r="151" spans="1:13">
      <c r="A151" s="726" t="s">
        <v>633</v>
      </c>
      <c r="B151" s="704">
        <v>709</v>
      </c>
      <c r="C151" s="634" t="s">
        <v>482</v>
      </c>
      <c r="D151" s="414">
        <v>1000</v>
      </c>
      <c r="E151" s="414"/>
      <c r="F151" s="414" t="s">
        <v>474</v>
      </c>
      <c r="G151" s="211">
        <v>0</v>
      </c>
      <c r="H151" s="414" t="s">
        <v>474</v>
      </c>
      <c r="I151" s="630">
        <v>0</v>
      </c>
      <c r="L151" s="728">
        <f>SUMIF(T198_TB!$E:$E,TB!B151,T198_TB!$L:$L)</f>
        <v>0</v>
      </c>
      <c r="M151" s="726" t="str">
        <f t="shared" si="2"/>
        <v>TRUE</v>
      </c>
    </row>
    <row r="152" spans="1:13">
      <c r="A152" s="726" t="s">
        <v>633</v>
      </c>
      <c r="B152" s="704">
        <v>704</v>
      </c>
      <c r="C152" s="634" t="s">
        <v>689</v>
      </c>
      <c r="D152" s="414">
        <v>1000</v>
      </c>
      <c r="E152" s="414"/>
      <c r="F152" s="414" t="s">
        <v>474</v>
      </c>
      <c r="G152" s="211">
        <v>197404250</v>
      </c>
      <c r="H152" s="414" t="s">
        <v>474</v>
      </c>
      <c r="I152" s="630">
        <v>197404250</v>
      </c>
      <c r="L152" s="728">
        <f>SUMIF(T198_TB!$E:$E,TB!B152,T198_TB!$L:$L)</f>
        <v>742228141</v>
      </c>
      <c r="M152" s="726">
        <f t="shared" si="2"/>
        <v>-544823891</v>
      </c>
    </row>
    <row r="153" spans="1:13">
      <c r="A153" s="726" t="s">
        <v>633</v>
      </c>
      <c r="B153" s="704">
        <v>801</v>
      </c>
      <c r="C153" s="634" t="s">
        <v>380</v>
      </c>
      <c r="D153" s="414">
        <v>1000</v>
      </c>
      <c r="E153" s="414"/>
      <c r="F153" s="414" t="s">
        <v>474</v>
      </c>
      <c r="G153" s="211">
        <v>-190300445</v>
      </c>
      <c r="H153" s="414" t="s">
        <v>474</v>
      </c>
      <c r="I153" s="630">
        <v>-190300445</v>
      </c>
      <c r="L153" s="728">
        <f>SUMIF(T198_TB!$E:$E,TB!B153,T198_TB!$L:$L)</f>
        <v>-1980322895</v>
      </c>
      <c r="M153" s="726">
        <f t="shared" si="2"/>
        <v>1790022450</v>
      </c>
    </row>
    <row r="154" spans="1:13">
      <c r="A154" s="726" t="s">
        <v>633</v>
      </c>
      <c r="B154" s="704">
        <v>708</v>
      </c>
      <c r="C154" s="634" t="s">
        <v>1651</v>
      </c>
      <c r="D154" s="414">
        <v>1000</v>
      </c>
      <c r="E154" s="414"/>
      <c r="F154" s="414" t="s">
        <v>474</v>
      </c>
      <c r="G154" s="211">
        <v>3286752</v>
      </c>
      <c r="H154" s="414" t="s">
        <v>474</v>
      </c>
      <c r="I154" s="630">
        <v>3286752</v>
      </c>
      <c r="L154" s="728">
        <f>SUMIF(T198_TB!$E:$E,TB!B154,T198_TB!$L:$L)</f>
        <v>3268112</v>
      </c>
      <c r="M154" s="726">
        <f t="shared" si="2"/>
        <v>18640</v>
      </c>
    </row>
    <row r="155" spans="1:13">
      <c r="A155" s="726" t="s">
        <v>633</v>
      </c>
      <c r="B155" s="722">
        <v>3406</v>
      </c>
      <c r="C155" s="634" t="s">
        <v>181</v>
      </c>
      <c r="D155" s="414">
        <v>1000</v>
      </c>
      <c r="E155" s="414"/>
      <c r="F155" s="414" t="s">
        <v>474</v>
      </c>
      <c r="G155" s="211">
        <v>-5047480105</v>
      </c>
      <c r="H155" s="414" t="s">
        <v>474</v>
      </c>
      <c r="I155" s="630">
        <v>-5047480105</v>
      </c>
      <c r="L155" s="728">
        <f>SUMIF(T198_TB!$E:$E,TB!B155,T198_TB!$L:$L)</f>
        <v>-5245911453</v>
      </c>
      <c r="M155" s="726">
        <f t="shared" si="2"/>
        <v>198431348</v>
      </c>
    </row>
    <row r="156" spans="1:13">
      <c r="A156" s="726" t="s">
        <v>633</v>
      </c>
      <c r="B156" s="722">
        <v>3408</v>
      </c>
      <c r="C156" s="634" t="s">
        <v>2061</v>
      </c>
      <c r="D156" s="414">
        <v>1000</v>
      </c>
      <c r="E156" s="414">
        <v>3</v>
      </c>
      <c r="F156" s="414" t="s">
        <v>474</v>
      </c>
      <c r="G156" s="211">
        <v>-81887307</v>
      </c>
      <c r="H156" s="414" t="s">
        <v>474</v>
      </c>
      <c r="I156" s="630">
        <v>-81887307</v>
      </c>
      <c r="L156" s="728">
        <f>SUMIF(T198_TB!$E:$E,TB!B156,T198_TB!$L:$L)</f>
        <v>-139640731</v>
      </c>
      <c r="M156" s="726">
        <f t="shared" si="2"/>
        <v>57753424</v>
      </c>
    </row>
    <row r="157" spans="1:13" ht="14.25" thickBot="1">
      <c r="A157" s="726" t="s">
        <v>633</v>
      </c>
      <c r="B157" s="705">
        <v>1607</v>
      </c>
      <c r="C157" s="636" t="s">
        <v>690</v>
      </c>
      <c r="D157" s="637">
        <v>1000</v>
      </c>
      <c r="E157" s="637"/>
      <c r="F157" s="637" t="s">
        <v>474</v>
      </c>
      <c r="G157" s="638">
        <v>58701019</v>
      </c>
      <c r="H157" s="637" t="s">
        <v>474</v>
      </c>
      <c r="I157" s="639">
        <v>58701019</v>
      </c>
      <c r="L157" s="728">
        <f>SUMIF(T198_TB!$E:$E,TB!B157,T198_TB!$L:$L)</f>
        <v>93286021</v>
      </c>
      <c r="M157" s="726">
        <f t="shared" si="2"/>
        <v>-34585002</v>
      </c>
    </row>
  </sheetData>
  <autoFilter ref="A1:N1" xr:uid="{00000000-0009-0000-0000-00000D000000}"/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>
    <tabColor rgb="FF002060"/>
  </sheetPr>
  <dimension ref="D3:U313"/>
  <sheetViews>
    <sheetView showGridLines="0" topLeftCell="A2" zoomScale="80" zoomScaleNormal="80" workbookViewId="0">
      <pane xSplit="8" ySplit="3" topLeftCell="I137" activePane="bottomRight" state="frozen"/>
      <selection activeCell="J13" sqref="J13"/>
      <selection pane="topRight" activeCell="J13" sqref="J13"/>
      <selection pane="bottomLeft" activeCell="J13" sqref="J13"/>
      <selection pane="bottomRight" activeCell="M7" sqref="M7"/>
    </sheetView>
  </sheetViews>
  <sheetFormatPr defaultColWidth="8.75" defaultRowHeight="18" customHeight="1"/>
  <cols>
    <col min="1" max="3" width="2.375" style="5" customWidth="1"/>
    <col min="4" max="4" width="9.875" style="254" customWidth="1"/>
    <col min="5" max="7" width="9.875" style="252" customWidth="1"/>
    <col min="8" max="8" width="37.375" style="252" bestFit="1" customWidth="1"/>
    <col min="9" max="9" width="2.25" style="252" bestFit="1" customWidth="1"/>
    <col min="10" max="10" width="18.125" style="252" customWidth="1"/>
    <col min="11" max="11" width="21.875" style="252" hidden="1" customWidth="1"/>
    <col min="12" max="13" width="21.875" style="252" customWidth="1"/>
    <col min="14" max="14" width="2.125" style="5" customWidth="1"/>
    <col min="15" max="15" width="17.375" style="219" customWidth="1"/>
    <col min="16" max="16" width="17.375" style="252" customWidth="1"/>
    <col min="17" max="17" width="17.375" style="253" customWidth="1"/>
    <col min="18" max="20" width="8.75" style="5"/>
    <col min="21" max="21" width="15" style="5" bestFit="1" customWidth="1"/>
    <col min="22" max="16384" width="8.75" style="5"/>
  </cols>
  <sheetData>
    <row r="3" spans="4:21" s="26" customFormat="1" ht="18" customHeight="1" thickBot="1">
      <c r="D3" s="218"/>
      <c r="K3" s="26" t="b">
        <f>K313=0</f>
        <v>1</v>
      </c>
      <c r="L3" s="26" t="b">
        <f>L313=0</f>
        <v>1</v>
      </c>
      <c r="M3" s="26" t="b">
        <f>M313=0</f>
        <v>1</v>
      </c>
      <c r="O3" s="219"/>
      <c r="P3" s="219"/>
      <c r="Q3" s="220"/>
    </row>
    <row r="4" spans="4:21" s="8" customFormat="1" ht="18" customHeight="1" thickBot="1">
      <c r="D4" s="221" t="s">
        <v>1533</v>
      </c>
      <c r="E4" s="222" t="s">
        <v>1534</v>
      </c>
      <c r="F4" s="222" t="s">
        <v>1535</v>
      </c>
      <c r="G4" s="222" t="s">
        <v>1536</v>
      </c>
      <c r="H4" s="222" t="s">
        <v>693</v>
      </c>
      <c r="I4" s="222"/>
      <c r="J4" s="222" t="s">
        <v>1537</v>
      </c>
      <c r="K4" s="222" t="s">
        <v>1585</v>
      </c>
      <c r="L4" s="222" t="s">
        <v>1584</v>
      </c>
      <c r="M4" s="223" t="s">
        <v>1583</v>
      </c>
      <c r="O4" s="224" t="s">
        <v>18</v>
      </c>
      <c r="P4" s="225" t="s">
        <v>611</v>
      </c>
      <c r="Q4" s="226" t="s">
        <v>478</v>
      </c>
    </row>
    <row r="5" spans="4:21" ht="18" customHeight="1">
      <c r="D5" s="227">
        <v>2020</v>
      </c>
      <c r="E5" s="228">
        <v>12</v>
      </c>
      <c r="F5" s="228" t="s">
        <v>1538</v>
      </c>
      <c r="G5" s="228" t="s">
        <v>694</v>
      </c>
      <c r="H5" s="228" t="s">
        <v>695</v>
      </c>
      <c r="I5" s="228">
        <v>1</v>
      </c>
      <c r="J5" s="228" t="s">
        <v>1539</v>
      </c>
      <c r="K5" s="228">
        <f>SUM(K6,K8,K62,K106,K146)</f>
        <v>15223219402</v>
      </c>
      <c r="L5" s="228">
        <f>SUM(L6,L8,L62,L106,L146)</f>
        <v>15223219402</v>
      </c>
      <c r="M5" s="229">
        <f>SUM(M6,M8,M62,M106,M146)</f>
        <v>0</v>
      </c>
      <c r="O5" s="230"/>
      <c r="P5" s="231"/>
      <c r="Q5" s="232"/>
    </row>
    <row r="6" spans="4:21" ht="18" customHeight="1">
      <c r="D6" s="227">
        <v>2020</v>
      </c>
      <c r="E6" s="228">
        <v>12</v>
      </c>
      <c r="F6" s="228" t="s">
        <v>633</v>
      </c>
      <c r="G6" s="228" t="s">
        <v>696</v>
      </c>
      <c r="H6" s="228" t="s">
        <v>209</v>
      </c>
      <c r="I6" s="228">
        <v>2</v>
      </c>
      <c r="J6" s="228" t="s">
        <v>474</v>
      </c>
      <c r="K6" s="228">
        <f>K7</f>
        <v>-23067872601</v>
      </c>
      <c r="L6" s="228">
        <f>L7</f>
        <v>-22708466937</v>
      </c>
      <c r="M6" s="229">
        <f>L6-K6</f>
        <v>359405664</v>
      </c>
      <c r="O6" s="230"/>
      <c r="P6" s="231"/>
      <c r="Q6" s="232"/>
    </row>
    <row r="7" spans="4:21" ht="18" customHeight="1">
      <c r="D7" s="233">
        <v>2020</v>
      </c>
      <c r="E7" s="231">
        <v>12</v>
      </c>
      <c r="F7" s="231" t="s">
        <v>633</v>
      </c>
      <c r="G7" s="231" t="s">
        <v>697</v>
      </c>
      <c r="H7" s="231" t="s">
        <v>698</v>
      </c>
      <c r="I7" s="231">
        <v>3</v>
      </c>
      <c r="J7" s="231" t="s">
        <v>474</v>
      </c>
      <c r="K7" s="231">
        <f>SUMIF('CF.1'!$D:$D,CFS!G7,'CF.1'!$T:$T)</f>
        <v>-23067872601</v>
      </c>
      <c r="L7" s="231">
        <f>K7-(T198_TB!V7+T198_TB!V8)</f>
        <v>-22708466937</v>
      </c>
      <c r="M7" s="234">
        <f>L7-K7</f>
        <v>359405664</v>
      </c>
      <c r="O7" s="230">
        <f>SUM(T198_TB!L93:L160)</f>
        <v>22708466937</v>
      </c>
      <c r="P7" s="231">
        <f>O7+L7</f>
        <v>0</v>
      </c>
      <c r="Q7" s="232"/>
      <c r="T7" s="5" t="s">
        <v>2058</v>
      </c>
      <c r="U7" s="5">
        <f>-SUMIF(T198_TB!N:N,CFS!T7,T198_TB!$L:$L)</f>
        <v>227564873407</v>
      </c>
    </row>
    <row r="8" spans="4:21" ht="18" customHeight="1">
      <c r="D8" s="227">
        <v>2020</v>
      </c>
      <c r="E8" s="228">
        <v>12</v>
      </c>
      <c r="F8" s="228" t="s">
        <v>633</v>
      </c>
      <c r="G8" s="228" t="s">
        <v>699</v>
      </c>
      <c r="H8" s="228" t="s">
        <v>1540</v>
      </c>
      <c r="I8" s="228">
        <v>2</v>
      </c>
      <c r="J8" s="228" t="s">
        <v>474</v>
      </c>
      <c r="K8" s="228">
        <f>SUM(K9:K61)</f>
        <v>22119414181</v>
      </c>
      <c r="L8" s="228">
        <f>SUM(L9:L61)</f>
        <v>21760008517</v>
      </c>
      <c r="M8" s="229">
        <f>SUM(M9:M61)</f>
        <v>-359405664</v>
      </c>
      <c r="O8" s="230"/>
      <c r="P8" s="231"/>
      <c r="Q8" s="232"/>
      <c r="T8" s="5" t="s">
        <v>2059</v>
      </c>
      <c r="U8" s="5">
        <f>-SUMIF(T198_TB!N:N,CFS!T8,T198_TB!$L:$L)</f>
        <v>-250273340344</v>
      </c>
    </row>
    <row r="9" spans="4:21" s="238" customFormat="1" ht="18" customHeight="1">
      <c r="D9" s="235">
        <v>2020</v>
      </c>
      <c r="E9" s="236">
        <v>12</v>
      </c>
      <c r="F9" s="236" t="s">
        <v>633</v>
      </c>
      <c r="G9" s="236" t="s">
        <v>701</v>
      </c>
      <c r="H9" s="236" t="s">
        <v>489</v>
      </c>
      <c r="I9" s="236">
        <v>3</v>
      </c>
      <c r="J9" s="236" t="s">
        <v>474</v>
      </c>
      <c r="K9" s="231">
        <f>SUMIF('CF.1'!$D:$D,CFS!G9,'CF.1'!$T:$T)</f>
        <v>3307331285</v>
      </c>
      <c r="L9" s="231">
        <f t="shared" ref="L9:L45" si="0">K9</f>
        <v>3307331285</v>
      </c>
      <c r="M9" s="237">
        <f t="shared" ref="M9:M26" si="1">L9-K9</f>
        <v>0</v>
      </c>
      <c r="O9" s="239">
        <f>SUM(T198_TB!L110,T198_TB!L111,T198_TB!L112,T198_TB!L113)</f>
        <v>2827931938</v>
      </c>
      <c r="P9" s="236">
        <f>O9-L9</f>
        <v>-479399347</v>
      </c>
      <c r="Q9" s="240" t="s">
        <v>1781</v>
      </c>
      <c r="T9" s="238" t="s">
        <v>2060</v>
      </c>
      <c r="U9" s="238">
        <f>SUM(U7:U8)</f>
        <v>-22708466937</v>
      </c>
    </row>
    <row r="10" spans="4:21" ht="18" customHeight="1">
      <c r="D10" s="233">
        <v>2020</v>
      </c>
      <c r="E10" s="231">
        <v>12</v>
      </c>
      <c r="F10" s="231" t="s">
        <v>633</v>
      </c>
      <c r="G10" s="231" t="s">
        <v>702</v>
      </c>
      <c r="H10" s="231" t="s">
        <v>386</v>
      </c>
      <c r="I10" s="236">
        <v>3</v>
      </c>
      <c r="J10" s="231" t="s">
        <v>474</v>
      </c>
      <c r="K10" s="231">
        <f>SUMIF('CF.1'!$D:$D,CFS!G10,'CF.1'!$T:$T)</f>
        <v>6564079983</v>
      </c>
      <c r="L10" s="231">
        <f t="shared" si="0"/>
        <v>6564079983</v>
      </c>
      <c r="M10" s="234">
        <f t="shared" si="1"/>
        <v>0</v>
      </c>
      <c r="O10" s="239">
        <f>SUMIF(T198_TB!$F:$F,CFS!H10,T198_TB!$L:$L)</f>
        <v>6564079983</v>
      </c>
      <c r="P10" s="236">
        <f t="shared" ref="P10:P75" si="2">O10-L10</f>
        <v>0</v>
      </c>
      <c r="Q10" s="232"/>
      <c r="U10" s="5">
        <f>L7-U9</f>
        <v>0</v>
      </c>
    </row>
    <row r="11" spans="4:21" ht="18" customHeight="1">
      <c r="D11" s="233">
        <v>2020</v>
      </c>
      <c r="E11" s="231">
        <v>12</v>
      </c>
      <c r="F11" s="231" t="s">
        <v>633</v>
      </c>
      <c r="G11" s="231" t="s">
        <v>703</v>
      </c>
      <c r="H11" s="231" t="s">
        <v>262</v>
      </c>
      <c r="I11" s="236">
        <v>3</v>
      </c>
      <c r="J11" s="231" t="s">
        <v>474</v>
      </c>
      <c r="K11" s="231">
        <f>SUMIF('CF.1'!$D:$D,CFS!G11,'CF.1'!$T:$T)</f>
        <v>1681402629</v>
      </c>
      <c r="L11" s="231">
        <f t="shared" si="0"/>
        <v>1681402629</v>
      </c>
      <c r="M11" s="234">
        <f t="shared" si="1"/>
        <v>0</v>
      </c>
      <c r="O11" s="239">
        <f>SUMIF(T198_TB!$F:$F,CFS!H11,T198_TB!$L:$L)</f>
        <v>1716897804</v>
      </c>
      <c r="P11" s="236">
        <f t="shared" si="2"/>
        <v>35495175</v>
      </c>
      <c r="Q11" s="232"/>
    </row>
    <row r="12" spans="4:21" ht="18" customHeight="1">
      <c r="D12" s="233">
        <v>2020</v>
      </c>
      <c r="E12" s="231">
        <v>12</v>
      </c>
      <c r="F12" s="231" t="s">
        <v>633</v>
      </c>
      <c r="G12" s="231" t="s">
        <v>704</v>
      </c>
      <c r="H12" s="231" t="s">
        <v>302</v>
      </c>
      <c r="I12" s="236">
        <v>3</v>
      </c>
      <c r="J12" s="231" t="s">
        <v>474</v>
      </c>
      <c r="K12" s="231">
        <f>SUMIF('CF.1'!$D:$D,CFS!G12,'CF.1'!$T:$T)</f>
        <v>-28983221</v>
      </c>
      <c r="L12" s="231">
        <f t="shared" si="0"/>
        <v>-28983221</v>
      </c>
      <c r="M12" s="234">
        <f t="shared" si="1"/>
        <v>0</v>
      </c>
      <c r="O12" s="239">
        <f>SUMIF(T198_TB!$F:$F,CFS!H12,T198_TB!$L:$L)</f>
        <v>-28983221</v>
      </c>
      <c r="P12" s="236">
        <f t="shared" si="2"/>
        <v>0</v>
      </c>
      <c r="Q12" s="232"/>
    </row>
    <row r="13" spans="4:21" ht="18" customHeight="1">
      <c r="D13" s="233">
        <v>2020</v>
      </c>
      <c r="E13" s="231">
        <v>12</v>
      </c>
      <c r="F13" s="231" t="s">
        <v>633</v>
      </c>
      <c r="G13" s="231" t="s">
        <v>705</v>
      </c>
      <c r="H13" s="231" t="s">
        <v>684</v>
      </c>
      <c r="I13" s="236">
        <v>3</v>
      </c>
      <c r="J13" s="231" t="s">
        <v>474</v>
      </c>
      <c r="K13" s="231">
        <f>SUMIF('CF.1'!$D:$D,CFS!G13,'CF.1'!$T:$T)</f>
        <v>2170624184</v>
      </c>
      <c r="L13" s="231">
        <f t="shared" si="0"/>
        <v>2170624184</v>
      </c>
      <c r="M13" s="234">
        <f t="shared" si="1"/>
        <v>0</v>
      </c>
      <c r="O13" s="239">
        <f>SUMIF(T198_TB!$F:$F,CFS!H13,T198_TB!$L:$L)</f>
        <v>2170624184</v>
      </c>
      <c r="P13" s="236">
        <f t="shared" si="2"/>
        <v>0</v>
      </c>
      <c r="Q13" s="232"/>
    </row>
    <row r="14" spans="4:21" ht="18" customHeight="1">
      <c r="D14" s="233">
        <v>2020</v>
      </c>
      <c r="E14" s="231">
        <v>12</v>
      </c>
      <c r="F14" s="231" t="s">
        <v>633</v>
      </c>
      <c r="G14" s="231" t="s">
        <v>706</v>
      </c>
      <c r="H14" s="231" t="s">
        <v>707</v>
      </c>
      <c r="I14" s="236">
        <v>3</v>
      </c>
      <c r="J14" s="231" t="s">
        <v>474</v>
      </c>
      <c r="K14" s="231">
        <f>SUMIF('CF.1'!$D:$D,CFS!G14,'CF.1'!$T:$T)</f>
        <v>0</v>
      </c>
      <c r="L14" s="231">
        <f t="shared" si="0"/>
        <v>0</v>
      </c>
      <c r="M14" s="234">
        <f t="shared" si="1"/>
        <v>0</v>
      </c>
      <c r="O14" s="239">
        <f>SUMIF(T198_TB!$F:$F,CFS!H14,T198_TB!$L:$L)</f>
        <v>0</v>
      </c>
      <c r="P14" s="236">
        <f t="shared" si="2"/>
        <v>0</v>
      </c>
      <c r="Q14" s="232"/>
    </row>
    <row r="15" spans="4:21" ht="18" customHeight="1">
      <c r="D15" s="233">
        <v>2020</v>
      </c>
      <c r="E15" s="231">
        <v>12</v>
      </c>
      <c r="F15" s="231" t="s">
        <v>633</v>
      </c>
      <c r="G15" s="231" t="s">
        <v>708</v>
      </c>
      <c r="H15" s="231" t="s">
        <v>709</v>
      </c>
      <c r="I15" s="236">
        <v>3</v>
      </c>
      <c r="J15" s="231" t="s">
        <v>474</v>
      </c>
      <c r="K15" s="231">
        <f>SUMIF('CF.1'!$D:$D,CFS!G15,'CF.1'!$T:$T)</f>
        <v>996359683</v>
      </c>
      <c r="L15" s="231">
        <f t="shared" si="0"/>
        <v>996359683</v>
      </c>
      <c r="M15" s="234">
        <f t="shared" si="1"/>
        <v>0</v>
      </c>
      <c r="O15" s="239">
        <f>SUMIF(T198_TB!$F:$F,CFS!H15,T198_TB!$L:$L)</f>
        <v>0</v>
      </c>
      <c r="P15" s="236">
        <f t="shared" si="2"/>
        <v>-996359683</v>
      </c>
      <c r="Q15" s="232"/>
    </row>
    <row r="16" spans="4:21" ht="18" customHeight="1">
      <c r="D16" s="233">
        <v>2020</v>
      </c>
      <c r="E16" s="231">
        <v>12</v>
      </c>
      <c r="F16" s="231" t="s">
        <v>633</v>
      </c>
      <c r="G16" s="231" t="s">
        <v>1541</v>
      </c>
      <c r="H16" s="231" t="s">
        <v>1542</v>
      </c>
      <c r="I16" s="236">
        <v>3</v>
      </c>
      <c r="J16" s="231" t="s">
        <v>474</v>
      </c>
      <c r="K16" s="231">
        <f>SUMIF('CF.1'!$D:$D,CFS!G16,'CF.1'!$T:$T)</f>
        <v>0</v>
      </c>
      <c r="L16" s="231">
        <f t="shared" si="0"/>
        <v>0</v>
      </c>
      <c r="M16" s="234">
        <f t="shared" si="1"/>
        <v>0</v>
      </c>
      <c r="O16" s="239">
        <f>SUMIF(T198_TB!$F:$F,CFS!H16,T198_TB!$L:$L)</f>
        <v>0</v>
      </c>
      <c r="P16" s="236">
        <f t="shared" si="2"/>
        <v>0</v>
      </c>
      <c r="Q16" s="232"/>
    </row>
    <row r="17" spans="4:17" ht="18" customHeight="1">
      <c r="D17" s="233">
        <v>2020</v>
      </c>
      <c r="E17" s="231">
        <v>12</v>
      </c>
      <c r="F17" s="231" t="s">
        <v>633</v>
      </c>
      <c r="G17" s="231" t="s">
        <v>1543</v>
      </c>
      <c r="H17" s="231" t="s">
        <v>1544</v>
      </c>
      <c r="I17" s="236">
        <v>3</v>
      </c>
      <c r="J17" s="231" t="s">
        <v>474</v>
      </c>
      <c r="K17" s="231">
        <f>SUMIF('CF.1'!$D:$D,CFS!G17,'CF.1'!$T:$T)</f>
        <v>0</v>
      </c>
      <c r="L17" s="231">
        <f t="shared" si="0"/>
        <v>0</v>
      </c>
      <c r="M17" s="234">
        <f t="shared" si="1"/>
        <v>0</v>
      </c>
      <c r="O17" s="239">
        <f>SUMIF(T198_TB!$F:$F,CFS!H17,T198_TB!$L:$L)</f>
        <v>0</v>
      </c>
      <c r="P17" s="236">
        <f t="shared" si="2"/>
        <v>0</v>
      </c>
      <c r="Q17" s="232"/>
    </row>
    <row r="18" spans="4:17" ht="18" customHeight="1">
      <c r="D18" s="233">
        <v>2020</v>
      </c>
      <c r="E18" s="231">
        <v>12</v>
      </c>
      <c r="F18" s="231" t="s">
        <v>633</v>
      </c>
      <c r="G18" s="231" t="s">
        <v>710</v>
      </c>
      <c r="H18" s="231" t="s">
        <v>711</v>
      </c>
      <c r="I18" s="236">
        <v>3</v>
      </c>
      <c r="J18" s="231" t="s">
        <v>474</v>
      </c>
      <c r="K18" s="231">
        <f>SUMIF('CF.1'!$D:$D,CFS!G18,'CF.1'!$T:$T)</f>
        <v>0</v>
      </c>
      <c r="L18" s="231">
        <f t="shared" si="0"/>
        <v>0</v>
      </c>
      <c r="M18" s="234">
        <f t="shared" si="1"/>
        <v>0</v>
      </c>
      <c r="O18" s="239">
        <f>SUMIF(T198_TB!$F:$F,CFS!H18,T198_TB!$L:$L)</f>
        <v>0</v>
      </c>
      <c r="P18" s="236">
        <f t="shared" si="2"/>
        <v>0</v>
      </c>
      <c r="Q18" s="232"/>
    </row>
    <row r="19" spans="4:17" ht="18" customHeight="1">
      <c r="D19" s="233">
        <v>2020</v>
      </c>
      <c r="E19" s="231">
        <v>12</v>
      </c>
      <c r="F19" s="231" t="s">
        <v>633</v>
      </c>
      <c r="G19" s="231" t="s">
        <v>712</v>
      </c>
      <c r="H19" s="231" t="s">
        <v>713</v>
      </c>
      <c r="I19" s="236">
        <v>3</v>
      </c>
      <c r="J19" s="231" t="s">
        <v>474</v>
      </c>
      <c r="K19" s="231">
        <f>SUMIF('CF.1'!$D:$D,CFS!G19,'CF.1'!$T:$T)</f>
        <v>0</v>
      </c>
      <c r="L19" s="231">
        <f t="shared" si="0"/>
        <v>0</v>
      </c>
      <c r="M19" s="234">
        <f t="shared" si="1"/>
        <v>0</v>
      </c>
      <c r="O19" s="239">
        <f>SUMIF(T198_TB!$F:$F,CFS!H19,T198_TB!$L:$L)</f>
        <v>0</v>
      </c>
      <c r="P19" s="236">
        <f t="shared" si="2"/>
        <v>0</v>
      </c>
      <c r="Q19" s="232"/>
    </row>
    <row r="20" spans="4:17" ht="18" customHeight="1">
      <c r="D20" s="233">
        <v>2020</v>
      </c>
      <c r="E20" s="231">
        <v>12</v>
      </c>
      <c r="F20" s="231" t="s">
        <v>633</v>
      </c>
      <c r="G20" s="231" t="s">
        <v>714</v>
      </c>
      <c r="H20" s="231" t="s">
        <v>715</v>
      </c>
      <c r="I20" s="236">
        <v>3</v>
      </c>
      <c r="J20" s="231" t="s">
        <v>474</v>
      </c>
      <c r="K20" s="231">
        <f>SUMIF('CF.1'!$D:$D,CFS!G20,'CF.1'!$T:$T)</f>
        <v>0</v>
      </c>
      <c r="L20" s="231">
        <f t="shared" si="0"/>
        <v>0</v>
      </c>
      <c r="M20" s="234">
        <f t="shared" si="1"/>
        <v>0</v>
      </c>
      <c r="O20" s="239">
        <f>SUMIF(T198_TB!$F:$F,CFS!H20,T198_TB!$L:$L)</f>
        <v>0</v>
      </c>
      <c r="P20" s="236">
        <f t="shared" si="2"/>
        <v>0</v>
      </c>
      <c r="Q20" s="232"/>
    </row>
    <row r="21" spans="4:17" ht="18" customHeight="1">
      <c r="D21" s="233">
        <v>2020</v>
      </c>
      <c r="E21" s="231">
        <v>12</v>
      </c>
      <c r="F21" s="231" t="s">
        <v>633</v>
      </c>
      <c r="G21" s="231" t="s">
        <v>716</v>
      </c>
      <c r="H21" s="231" t="s">
        <v>717</v>
      </c>
      <c r="I21" s="236">
        <v>3</v>
      </c>
      <c r="J21" s="231" t="s">
        <v>474</v>
      </c>
      <c r="K21" s="231">
        <f>SUMIF('CF.1'!$D:$D,CFS!G21,'CF.1'!$T:$T)</f>
        <v>0</v>
      </c>
      <c r="L21" s="231">
        <f t="shared" si="0"/>
        <v>0</v>
      </c>
      <c r="M21" s="234">
        <f t="shared" si="1"/>
        <v>0</v>
      </c>
      <c r="O21" s="239">
        <f>SUMIF(T198_TB!$F:$F,CFS!H21,T198_TB!$L:$L)</f>
        <v>0</v>
      </c>
      <c r="P21" s="236">
        <f t="shared" si="2"/>
        <v>0</v>
      </c>
      <c r="Q21" s="232"/>
    </row>
    <row r="22" spans="4:17" ht="18" customHeight="1">
      <c r="D22" s="233">
        <v>2020</v>
      </c>
      <c r="E22" s="231">
        <v>12</v>
      </c>
      <c r="F22" s="231" t="s">
        <v>633</v>
      </c>
      <c r="G22" s="231" t="s">
        <v>718</v>
      </c>
      <c r="H22" s="231" t="s">
        <v>719</v>
      </c>
      <c r="I22" s="236">
        <v>3</v>
      </c>
      <c r="J22" s="231" t="s">
        <v>474</v>
      </c>
      <c r="K22" s="231">
        <f>SUMIF('CF.1'!$D:$D,CFS!G22,'CF.1'!$T:$T)</f>
        <v>0</v>
      </c>
      <c r="L22" s="231">
        <f t="shared" si="0"/>
        <v>0</v>
      </c>
      <c r="M22" s="234">
        <f t="shared" si="1"/>
        <v>0</v>
      </c>
      <c r="O22" s="239">
        <f>SUMIF(T198_TB!$F:$F,CFS!H22,T198_TB!$L:$L)</f>
        <v>0</v>
      </c>
      <c r="P22" s="236">
        <f t="shared" si="2"/>
        <v>0</v>
      </c>
      <c r="Q22" s="232"/>
    </row>
    <row r="23" spans="4:17" ht="18" customHeight="1">
      <c r="D23" s="233">
        <v>2020</v>
      </c>
      <c r="E23" s="231">
        <v>12</v>
      </c>
      <c r="F23" s="231" t="s">
        <v>633</v>
      </c>
      <c r="G23" s="231" t="s">
        <v>720</v>
      </c>
      <c r="H23" s="231" t="s">
        <v>721</v>
      </c>
      <c r="I23" s="236">
        <v>3</v>
      </c>
      <c r="J23" s="231" t="s">
        <v>474</v>
      </c>
      <c r="K23" s="231">
        <f>SUMIF('CF.1'!$D:$D,CFS!G23,'CF.1'!$T:$T)</f>
        <v>0</v>
      </c>
      <c r="L23" s="231">
        <f t="shared" si="0"/>
        <v>0</v>
      </c>
      <c r="M23" s="234">
        <f t="shared" si="1"/>
        <v>0</v>
      </c>
      <c r="O23" s="239">
        <f>SUMIF(T198_TB!$F:$F,CFS!H23,T198_TB!$L:$L)</f>
        <v>0</v>
      </c>
      <c r="P23" s="236">
        <f t="shared" si="2"/>
        <v>0</v>
      </c>
      <c r="Q23" s="232"/>
    </row>
    <row r="24" spans="4:17" ht="18" customHeight="1">
      <c r="D24" s="233">
        <v>2020</v>
      </c>
      <c r="E24" s="231">
        <v>12</v>
      </c>
      <c r="F24" s="231" t="s">
        <v>633</v>
      </c>
      <c r="G24" s="231" t="s">
        <v>722</v>
      </c>
      <c r="H24" s="231" t="s">
        <v>723</v>
      </c>
      <c r="I24" s="236">
        <v>3</v>
      </c>
      <c r="J24" s="231" t="s">
        <v>474</v>
      </c>
      <c r="K24" s="231">
        <f>SUMIF('CF.1'!$D:$D,CFS!G24,'CF.1'!$T:$T)</f>
        <v>0</v>
      </c>
      <c r="L24" s="231">
        <f t="shared" si="0"/>
        <v>0</v>
      </c>
      <c r="M24" s="234">
        <f t="shared" si="1"/>
        <v>0</v>
      </c>
      <c r="O24" s="239">
        <f>SUMIF(T198_TB!$F:$F,CFS!H24,T198_TB!$L:$L)</f>
        <v>0</v>
      </c>
      <c r="P24" s="236">
        <f t="shared" si="2"/>
        <v>0</v>
      </c>
      <c r="Q24" s="232"/>
    </row>
    <row r="25" spans="4:17" ht="18" customHeight="1">
      <c r="D25" s="233">
        <v>2020</v>
      </c>
      <c r="E25" s="231">
        <v>12</v>
      </c>
      <c r="F25" s="231" t="s">
        <v>633</v>
      </c>
      <c r="G25" s="231" t="s">
        <v>724</v>
      </c>
      <c r="H25" s="231" t="s">
        <v>725</v>
      </c>
      <c r="I25" s="236">
        <v>3</v>
      </c>
      <c r="J25" s="231" t="s">
        <v>474</v>
      </c>
      <c r="K25" s="231">
        <f>SUMIF('CF.1'!$D:$D,CFS!G25,'CF.1'!$T:$T)</f>
        <v>0</v>
      </c>
      <c r="L25" s="231">
        <f t="shared" si="0"/>
        <v>0</v>
      </c>
      <c r="M25" s="234">
        <f t="shared" si="1"/>
        <v>0</v>
      </c>
      <c r="O25" s="239">
        <f>SUMIF(T198_TB!$F:$F,CFS!H25,T198_TB!$L:$L)</f>
        <v>0</v>
      </c>
      <c r="P25" s="236">
        <f t="shared" si="2"/>
        <v>0</v>
      </c>
      <c r="Q25" s="232"/>
    </row>
    <row r="26" spans="4:17" ht="18" customHeight="1">
      <c r="D26" s="233">
        <v>2020</v>
      </c>
      <c r="E26" s="231">
        <v>12</v>
      </c>
      <c r="F26" s="231" t="s">
        <v>633</v>
      </c>
      <c r="G26" s="231" t="s">
        <v>726</v>
      </c>
      <c r="H26" s="231" t="s">
        <v>727</v>
      </c>
      <c r="I26" s="236">
        <v>3</v>
      </c>
      <c r="J26" s="231" t="s">
        <v>474</v>
      </c>
      <c r="K26" s="231">
        <f>SUMIF('CF.1'!$D:$D,CFS!G26,'CF.1'!$T:$T)</f>
        <v>0</v>
      </c>
      <c r="L26" s="231">
        <f t="shared" si="0"/>
        <v>0</v>
      </c>
      <c r="M26" s="234">
        <f t="shared" si="1"/>
        <v>0</v>
      </c>
      <c r="O26" s="239">
        <f>SUMIF(T198_TB!$F:$F,CFS!H26,T198_TB!$L:$L)</f>
        <v>0</v>
      </c>
      <c r="P26" s="236">
        <f t="shared" si="2"/>
        <v>0</v>
      </c>
      <c r="Q26" s="232"/>
    </row>
    <row r="27" spans="4:17" ht="18" customHeight="1">
      <c r="D27" s="233">
        <v>2020</v>
      </c>
      <c r="E27" s="231">
        <v>12</v>
      </c>
      <c r="F27" s="231" t="s">
        <v>633</v>
      </c>
      <c r="G27" s="231" t="s">
        <v>728</v>
      </c>
      <c r="H27" s="231" t="s">
        <v>729</v>
      </c>
      <c r="I27" s="236">
        <v>3</v>
      </c>
      <c r="J27" s="231" t="s">
        <v>474</v>
      </c>
      <c r="K27" s="231">
        <f>SUMIF('CF.1'!$D:$D,CFS!G27,'CF.1'!$T:$T)</f>
        <v>0</v>
      </c>
      <c r="L27" s="231">
        <f t="shared" si="0"/>
        <v>0</v>
      </c>
      <c r="M27" s="234">
        <f t="shared" ref="M27:M61" si="3">L27-K27</f>
        <v>0</v>
      </c>
      <c r="O27" s="239">
        <f>SUMIF(T198_TB!$F:$F,CFS!H27,T198_TB!$L:$L)</f>
        <v>0</v>
      </c>
      <c r="P27" s="236">
        <f t="shared" si="2"/>
        <v>0</v>
      </c>
      <c r="Q27" s="232"/>
    </row>
    <row r="28" spans="4:17" ht="18" customHeight="1">
      <c r="D28" s="233">
        <v>2020</v>
      </c>
      <c r="E28" s="231">
        <v>12</v>
      </c>
      <c r="F28" s="231" t="s">
        <v>633</v>
      </c>
      <c r="G28" s="231" t="s">
        <v>730</v>
      </c>
      <c r="H28" s="231" t="s">
        <v>731</v>
      </c>
      <c r="I28" s="236">
        <v>3</v>
      </c>
      <c r="J28" s="231" t="s">
        <v>474</v>
      </c>
      <c r="K28" s="231">
        <f>SUMIF('CF.1'!$D:$D,CFS!G28,'CF.1'!$T:$T)</f>
        <v>0</v>
      </c>
      <c r="L28" s="231">
        <f t="shared" si="0"/>
        <v>0</v>
      </c>
      <c r="M28" s="234">
        <f t="shared" si="3"/>
        <v>0</v>
      </c>
      <c r="O28" s="239">
        <f>SUMIF(T198_TB!$F:$F,CFS!H28,T198_TB!$L:$L)</f>
        <v>0</v>
      </c>
      <c r="P28" s="236">
        <f t="shared" si="2"/>
        <v>0</v>
      </c>
      <c r="Q28" s="232"/>
    </row>
    <row r="29" spans="4:17" ht="18" customHeight="1">
      <c r="D29" s="233">
        <v>2020</v>
      </c>
      <c r="E29" s="231">
        <v>12</v>
      </c>
      <c r="F29" s="231" t="s">
        <v>633</v>
      </c>
      <c r="G29" s="231" t="s">
        <v>732</v>
      </c>
      <c r="H29" s="231" t="s">
        <v>688</v>
      </c>
      <c r="I29" s="236">
        <v>3</v>
      </c>
      <c r="J29" s="231" t="s">
        <v>474</v>
      </c>
      <c r="K29" s="231">
        <f>SUMIF('CF.1'!$D:$D,CFS!G29,'CF.1'!$T:$T)</f>
        <v>1000</v>
      </c>
      <c r="L29" s="231">
        <f t="shared" si="0"/>
        <v>1000</v>
      </c>
      <c r="M29" s="234">
        <f t="shared" si="3"/>
        <v>0</v>
      </c>
      <c r="O29" s="239">
        <f>SUMIF(T198_TB!$F:$F,CFS!H29,T198_TB!$L:$L)</f>
        <v>1000</v>
      </c>
      <c r="P29" s="236">
        <f t="shared" si="2"/>
        <v>0</v>
      </c>
      <c r="Q29" s="232"/>
    </row>
    <row r="30" spans="4:17" ht="18" customHeight="1">
      <c r="D30" s="233">
        <v>2020</v>
      </c>
      <c r="E30" s="231">
        <v>12</v>
      </c>
      <c r="F30" s="231" t="s">
        <v>633</v>
      </c>
      <c r="G30" s="231" t="s">
        <v>733</v>
      </c>
      <c r="H30" s="231" t="s">
        <v>734</v>
      </c>
      <c r="I30" s="236">
        <v>3</v>
      </c>
      <c r="J30" s="231" t="s">
        <v>474</v>
      </c>
      <c r="K30" s="231">
        <f>SUMIF('CF.1'!$D:$D,CFS!G30,'CF.1'!$T:$T)</f>
        <v>0</v>
      </c>
      <c r="L30" s="231">
        <f t="shared" si="0"/>
        <v>0</v>
      </c>
      <c r="M30" s="234">
        <f t="shared" si="3"/>
        <v>0</v>
      </c>
      <c r="O30" s="239">
        <f>SUMIF(T198_TB!$F:$F,CFS!H30,T198_TB!$L:$L)</f>
        <v>0</v>
      </c>
      <c r="P30" s="236">
        <f t="shared" si="2"/>
        <v>0</v>
      </c>
      <c r="Q30" s="232"/>
    </row>
    <row r="31" spans="4:17" ht="18" customHeight="1">
      <c r="D31" s="233">
        <v>2020</v>
      </c>
      <c r="E31" s="231">
        <v>12</v>
      </c>
      <c r="F31" s="231" t="s">
        <v>633</v>
      </c>
      <c r="G31" s="231" t="s">
        <v>735</v>
      </c>
      <c r="H31" s="231" t="s">
        <v>736</v>
      </c>
      <c r="I31" s="236">
        <v>3</v>
      </c>
      <c r="J31" s="231" t="s">
        <v>474</v>
      </c>
      <c r="K31" s="231">
        <f>SUMIF('CF.1'!$D:$D,CFS!G31,'CF.1'!$T:$T)</f>
        <v>598158</v>
      </c>
      <c r="L31" s="231">
        <f t="shared" si="0"/>
        <v>598158</v>
      </c>
      <c r="M31" s="234">
        <f t="shared" si="3"/>
        <v>0</v>
      </c>
      <c r="O31" s="239">
        <f>SUMIF(T198_TB!$F:$F,CFS!H31,T198_TB!$L:$L)</f>
        <v>598158</v>
      </c>
      <c r="P31" s="236">
        <f t="shared" si="2"/>
        <v>0</v>
      </c>
      <c r="Q31" s="232"/>
    </row>
    <row r="32" spans="4:17" ht="18" customHeight="1">
      <c r="D32" s="233">
        <v>2020</v>
      </c>
      <c r="E32" s="231">
        <v>12</v>
      </c>
      <c r="F32" s="231" t="s">
        <v>633</v>
      </c>
      <c r="G32" s="231" t="s">
        <v>737</v>
      </c>
      <c r="H32" s="231" t="s">
        <v>482</v>
      </c>
      <c r="I32" s="236">
        <v>3</v>
      </c>
      <c r="J32" s="231" t="s">
        <v>474</v>
      </c>
      <c r="K32" s="231">
        <f>SUMIF('CF.1'!$D:$D,CFS!G32,'CF.1'!$T:$T)</f>
        <v>0</v>
      </c>
      <c r="L32" s="231">
        <f t="shared" si="0"/>
        <v>0</v>
      </c>
      <c r="M32" s="234">
        <f t="shared" si="3"/>
        <v>0</v>
      </c>
      <c r="O32" s="239">
        <f>SUMIF(T198_TB!$F:$F,CFS!H32,T198_TB!$L:$L)</f>
        <v>0</v>
      </c>
      <c r="P32" s="236">
        <f t="shared" si="2"/>
        <v>0</v>
      </c>
      <c r="Q32" s="232"/>
    </row>
    <row r="33" spans="4:17" ht="18" customHeight="1">
      <c r="D33" s="233">
        <v>2020</v>
      </c>
      <c r="E33" s="231">
        <v>12</v>
      </c>
      <c r="F33" s="231" t="s">
        <v>633</v>
      </c>
      <c r="G33" s="231" t="s">
        <v>738</v>
      </c>
      <c r="H33" s="231" t="s">
        <v>687</v>
      </c>
      <c r="I33" s="236">
        <v>3</v>
      </c>
      <c r="J33" s="231" t="s">
        <v>474</v>
      </c>
      <c r="K33" s="231">
        <f>SUMIF('CF.1'!$D:$D,CFS!G33,'CF.1'!$T:$T)</f>
        <v>5548640215</v>
      </c>
      <c r="L33" s="231">
        <f t="shared" si="0"/>
        <v>5548640215</v>
      </c>
      <c r="M33" s="234">
        <f t="shared" si="3"/>
        <v>0</v>
      </c>
      <c r="O33" s="239">
        <f>SUMIF(T198_TB!$F:$F,CFS!H33,T198_TB!$L:$L)</f>
        <v>5548640215</v>
      </c>
      <c r="P33" s="236">
        <f t="shared" si="2"/>
        <v>0</v>
      </c>
      <c r="Q33" s="232"/>
    </row>
    <row r="34" spans="4:17" ht="18" customHeight="1">
      <c r="D34" s="233">
        <v>2020</v>
      </c>
      <c r="E34" s="231">
        <v>12</v>
      </c>
      <c r="F34" s="231" t="s">
        <v>633</v>
      </c>
      <c r="G34" s="231" t="s">
        <v>739</v>
      </c>
      <c r="H34" s="231" t="s">
        <v>740</v>
      </c>
      <c r="I34" s="236">
        <v>3</v>
      </c>
      <c r="J34" s="231" t="s">
        <v>474</v>
      </c>
      <c r="K34" s="231">
        <f>SUMIF('CF.1'!$D:$D,CFS!G34,'CF.1'!$T:$T)</f>
        <v>-2123496016</v>
      </c>
      <c r="L34" s="231">
        <f t="shared" si="0"/>
        <v>-2123496016</v>
      </c>
      <c r="M34" s="234">
        <f t="shared" si="3"/>
        <v>0</v>
      </c>
      <c r="O34" s="239">
        <f>SUMIF(T198_TB!$F:$F,CFS!H34,T198_TB!$L:$L)</f>
        <v>0</v>
      </c>
      <c r="P34" s="236">
        <f t="shared" si="2"/>
        <v>2123496016</v>
      </c>
      <c r="Q34" s="232" t="s">
        <v>1782</v>
      </c>
    </row>
    <row r="35" spans="4:17" ht="18" customHeight="1">
      <c r="D35" s="233">
        <v>2020</v>
      </c>
      <c r="E35" s="231">
        <v>12</v>
      </c>
      <c r="F35" s="231" t="s">
        <v>633</v>
      </c>
      <c r="G35" s="231" t="s">
        <v>741</v>
      </c>
      <c r="H35" s="231" t="s">
        <v>742</v>
      </c>
      <c r="I35" s="236">
        <v>3</v>
      </c>
      <c r="J35" s="231" t="s">
        <v>474</v>
      </c>
      <c r="K35" s="231">
        <f>SUMIF('CF.1'!$D:$D,CFS!G35,'CF.1'!$T:$T)</f>
        <v>0</v>
      </c>
      <c r="L35" s="231">
        <f t="shared" si="0"/>
        <v>0</v>
      </c>
      <c r="M35" s="234">
        <f t="shared" si="3"/>
        <v>0</v>
      </c>
      <c r="O35" s="239">
        <f>SUMIF(T198_TB!$F:$F,CFS!H35,T198_TB!$L:$L)</f>
        <v>0</v>
      </c>
      <c r="P35" s="236">
        <f t="shared" si="2"/>
        <v>0</v>
      </c>
      <c r="Q35" s="232"/>
    </row>
    <row r="36" spans="4:17" ht="18" customHeight="1">
      <c r="D36" s="233">
        <v>2020</v>
      </c>
      <c r="E36" s="231">
        <v>12</v>
      </c>
      <c r="F36" s="231" t="s">
        <v>633</v>
      </c>
      <c r="G36" s="231" t="s">
        <v>743</v>
      </c>
      <c r="H36" s="231" t="s">
        <v>744</v>
      </c>
      <c r="I36" s="236">
        <v>3</v>
      </c>
      <c r="J36" s="231" t="s">
        <v>474</v>
      </c>
      <c r="K36" s="231">
        <f>SUMIF('CF.1'!$D:$D,CFS!G36,'CF.1'!$T:$T)</f>
        <v>0</v>
      </c>
      <c r="L36" s="231">
        <f t="shared" si="0"/>
        <v>0</v>
      </c>
      <c r="M36" s="234">
        <f t="shared" si="3"/>
        <v>0</v>
      </c>
      <c r="O36" s="239">
        <f>SUMIF(T198_TB!$F:$F,CFS!H36,T198_TB!$L:$L)</f>
        <v>0</v>
      </c>
      <c r="P36" s="236">
        <f t="shared" si="2"/>
        <v>0</v>
      </c>
      <c r="Q36" s="232"/>
    </row>
    <row r="37" spans="4:17" ht="18" customHeight="1">
      <c r="D37" s="233">
        <v>2020</v>
      </c>
      <c r="E37" s="231">
        <v>12</v>
      </c>
      <c r="F37" s="231" t="s">
        <v>633</v>
      </c>
      <c r="G37" s="231" t="s">
        <v>745</v>
      </c>
      <c r="H37" s="231" t="s">
        <v>746</v>
      </c>
      <c r="I37" s="236">
        <v>3</v>
      </c>
      <c r="J37" s="231" t="s">
        <v>474</v>
      </c>
      <c r="K37" s="231">
        <f>SUMIF('CF.1'!$D:$D,CFS!G37,'CF.1'!$T:$T)</f>
        <v>1012691176</v>
      </c>
      <c r="L37" s="231">
        <f t="shared" si="0"/>
        <v>1012691176</v>
      </c>
      <c r="M37" s="234">
        <f t="shared" si="3"/>
        <v>0</v>
      </c>
      <c r="O37" s="239">
        <f>SUMIF(T198_TB!$F:$F,CFS!H37,T198_TB!$L:$L)</f>
        <v>0</v>
      </c>
      <c r="P37" s="236">
        <f t="shared" si="2"/>
        <v>-1012691176</v>
      </c>
      <c r="Q37" s="232"/>
    </row>
    <row r="38" spans="4:17" ht="18" customHeight="1">
      <c r="D38" s="233">
        <v>2020</v>
      </c>
      <c r="E38" s="231">
        <v>12</v>
      </c>
      <c r="F38" s="231" t="s">
        <v>633</v>
      </c>
      <c r="G38" s="231" t="s">
        <v>747</v>
      </c>
      <c r="H38" s="231" t="s">
        <v>748</v>
      </c>
      <c r="I38" s="236">
        <v>3</v>
      </c>
      <c r="J38" s="231" t="s">
        <v>474</v>
      </c>
      <c r="K38" s="231">
        <f>SUMIF('CF.1'!$D:$D,CFS!G38,'CF.1'!$T:$T)</f>
        <v>0</v>
      </c>
      <c r="L38" s="231">
        <f t="shared" si="0"/>
        <v>0</v>
      </c>
      <c r="M38" s="234">
        <f t="shared" si="3"/>
        <v>0</v>
      </c>
      <c r="O38" s="239">
        <f>SUMIF(T198_TB!$F:$F,CFS!H38,T198_TB!$L:$L)</f>
        <v>0</v>
      </c>
      <c r="P38" s="236">
        <f t="shared" si="2"/>
        <v>0</v>
      </c>
      <c r="Q38" s="232"/>
    </row>
    <row r="39" spans="4:17" ht="18" customHeight="1">
      <c r="D39" s="233">
        <v>2020</v>
      </c>
      <c r="E39" s="231">
        <v>12</v>
      </c>
      <c r="F39" s="231" t="s">
        <v>633</v>
      </c>
      <c r="G39" s="231" t="s">
        <v>749</v>
      </c>
      <c r="H39" s="231" t="s">
        <v>750</v>
      </c>
      <c r="I39" s="236">
        <v>3</v>
      </c>
      <c r="J39" s="231" t="s">
        <v>474</v>
      </c>
      <c r="K39" s="231">
        <f>SUMIF('CF.1'!$D:$D,CFS!G39,'CF.1'!$T:$T)</f>
        <v>0</v>
      </c>
      <c r="L39" s="231">
        <f t="shared" si="0"/>
        <v>0</v>
      </c>
      <c r="M39" s="234">
        <f t="shared" si="3"/>
        <v>0</v>
      </c>
      <c r="O39" s="239">
        <f>SUMIF(T198_TB!$F:$F,CFS!H39,T198_TB!$L:$L)</f>
        <v>0</v>
      </c>
      <c r="P39" s="236">
        <f t="shared" si="2"/>
        <v>0</v>
      </c>
      <c r="Q39" s="232"/>
    </row>
    <row r="40" spans="4:17" ht="18" customHeight="1">
      <c r="D40" s="233">
        <v>2020</v>
      </c>
      <c r="E40" s="231">
        <v>12</v>
      </c>
      <c r="F40" s="231" t="s">
        <v>633</v>
      </c>
      <c r="G40" s="231" t="s">
        <v>751</v>
      </c>
      <c r="H40" s="231" t="s">
        <v>752</v>
      </c>
      <c r="I40" s="236">
        <v>3</v>
      </c>
      <c r="J40" s="231" t="s">
        <v>474</v>
      </c>
      <c r="K40" s="231">
        <f>SUMIF('CF.1'!$D:$D,CFS!G40,'CF.1'!$T:$T)</f>
        <v>0</v>
      </c>
      <c r="L40" s="231">
        <f t="shared" si="0"/>
        <v>0</v>
      </c>
      <c r="M40" s="234">
        <f t="shared" si="3"/>
        <v>0</v>
      </c>
      <c r="O40" s="239">
        <f>SUMIF(T198_TB!$F:$F,CFS!H40,T198_TB!$L:$L)</f>
        <v>0</v>
      </c>
      <c r="P40" s="236">
        <f t="shared" si="2"/>
        <v>0</v>
      </c>
      <c r="Q40" s="232"/>
    </row>
    <row r="41" spans="4:17" ht="18" customHeight="1">
      <c r="D41" s="233">
        <v>2020</v>
      </c>
      <c r="E41" s="231">
        <v>12</v>
      </c>
      <c r="F41" s="231" t="s">
        <v>633</v>
      </c>
      <c r="G41" s="231" t="s">
        <v>753</v>
      </c>
      <c r="H41" s="231" t="s">
        <v>754</v>
      </c>
      <c r="I41" s="236">
        <v>3</v>
      </c>
      <c r="J41" s="231" t="s">
        <v>474</v>
      </c>
      <c r="K41" s="231">
        <f>SUMIF('CF.1'!$D:$D,CFS!G41,'CF.1'!$T:$T)</f>
        <v>0</v>
      </c>
      <c r="L41" s="231">
        <f t="shared" si="0"/>
        <v>0</v>
      </c>
      <c r="M41" s="234">
        <f t="shared" si="3"/>
        <v>0</v>
      </c>
      <c r="O41" s="239">
        <f>SUMIF(T198_TB!$F:$F,CFS!H41,T198_TB!$L:$L)</f>
        <v>0</v>
      </c>
      <c r="P41" s="236">
        <f t="shared" si="2"/>
        <v>0</v>
      </c>
      <c r="Q41" s="232"/>
    </row>
    <row r="42" spans="4:17" ht="18" customHeight="1">
      <c r="D42" s="233">
        <v>2020</v>
      </c>
      <c r="E42" s="231">
        <v>12</v>
      </c>
      <c r="F42" s="231" t="s">
        <v>633</v>
      </c>
      <c r="G42" s="231" t="s">
        <v>755</v>
      </c>
      <c r="H42" s="231" t="s">
        <v>756</v>
      </c>
      <c r="I42" s="236">
        <v>3</v>
      </c>
      <c r="J42" s="231" t="s">
        <v>474</v>
      </c>
      <c r="K42" s="231">
        <f>SUMIF('CF.1'!$D:$D,CFS!G42,'CF.1'!$T:$T)</f>
        <v>0</v>
      </c>
      <c r="L42" s="231">
        <f t="shared" si="0"/>
        <v>0</v>
      </c>
      <c r="M42" s="234">
        <f t="shared" si="3"/>
        <v>0</v>
      </c>
      <c r="O42" s="239">
        <f>SUMIF(T198_TB!$F:$F,CFS!H42,T198_TB!$L:$L)</f>
        <v>0</v>
      </c>
      <c r="P42" s="236">
        <f t="shared" si="2"/>
        <v>0</v>
      </c>
      <c r="Q42" s="232"/>
    </row>
    <row r="43" spans="4:17" ht="18" customHeight="1">
      <c r="D43" s="233">
        <v>2020</v>
      </c>
      <c r="E43" s="231">
        <v>12</v>
      </c>
      <c r="F43" s="231" t="s">
        <v>633</v>
      </c>
      <c r="G43" s="231" t="s">
        <v>757</v>
      </c>
      <c r="H43" s="231" t="s">
        <v>758</v>
      </c>
      <c r="I43" s="236">
        <v>3</v>
      </c>
      <c r="J43" s="231" t="s">
        <v>474</v>
      </c>
      <c r="K43" s="231">
        <f>SUMIF('CF.1'!$D:$D,CFS!G43,'CF.1'!$T:$T)</f>
        <v>0</v>
      </c>
      <c r="L43" s="231">
        <f t="shared" si="0"/>
        <v>0</v>
      </c>
      <c r="M43" s="234">
        <f t="shared" si="3"/>
        <v>0</v>
      </c>
      <c r="O43" s="239">
        <f>SUMIF(T198_TB!$F:$F,CFS!H43,T198_TB!$L:$L)</f>
        <v>0</v>
      </c>
      <c r="P43" s="236">
        <f t="shared" si="2"/>
        <v>0</v>
      </c>
      <c r="Q43" s="232"/>
    </row>
    <row r="44" spans="4:17" ht="18" customHeight="1">
      <c r="D44" s="233">
        <v>2020</v>
      </c>
      <c r="E44" s="231">
        <v>12</v>
      </c>
      <c r="F44" s="231" t="s">
        <v>633</v>
      </c>
      <c r="G44" s="231" t="s">
        <v>759</v>
      </c>
      <c r="H44" s="231" t="s">
        <v>760</v>
      </c>
      <c r="I44" s="236">
        <v>3</v>
      </c>
      <c r="J44" s="231" t="s">
        <v>474</v>
      </c>
      <c r="K44" s="231">
        <f>SUMIF('CF.1'!$D:$D,CFS!G44,'CF.1'!$T:$T)</f>
        <v>624260187</v>
      </c>
      <c r="L44" s="231">
        <f>K44+T198_TB!V7</f>
        <v>886857714</v>
      </c>
      <c r="M44" s="234">
        <f t="shared" si="3"/>
        <v>262597527</v>
      </c>
      <c r="O44" s="239">
        <f>SUMIF(T198_TB!$F:$F,CFS!H44,T198_TB!$L:$L)</f>
        <v>886857714</v>
      </c>
      <c r="P44" s="236">
        <f t="shared" si="2"/>
        <v>0</v>
      </c>
      <c r="Q44" s="232"/>
    </row>
    <row r="45" spans="4:17" ht="18" customHeight="1">
      <c r="D45" s="233">
        <v>2020</v>
      </c>
      <c r="E45" s="231">
        <v>12</v>
      </c>
      <c r="F45" s="231" t="s">
        <v>633</v>
      </c>
      <c r="G45" s="231" t="s">
        <v>761</v>
      </c>
      <c r="H45" s="231" t="s">
        <v>762</v>
      </c>
      <c r="I45" s="236">
        <v>3</v>
      </c>
      <c r="J45" s="231" t="s">
        <v>474</v>
      </c>
      <c r="K45" s="231">
        <f>SUMIF('CF.1'!$D:$D,CFS!G45,'CF.1'!$T:$T)</f>
        <v>0</v>
      </c>
      <c r="L45" s="231">
        <f t="shared" si="0"/>
        <v>0</v>
      </c>
      <c r="M45" s="234">
        <f t="shared" si="3"/>
        <v>0</v>
      </c>
      <c r="O45" s="239">
        <f>SUMIF(T198_TB!$F:$F,CFS!H45,T198_TB!$L:$L)</f>
        <v>0</v>
      </c>
      <c r="P45" s="236">
        <f t="shared" si="2"/>
        <v>0</v>
      </c>
      <c r="Q45" s="232"/>
    </row>
    <row r="46" spans="4:17" ht="18" customHeight="1">
      <c r="D46" s="830">
        <v>2020</v>
      </c>
      <c r="E46" s="831">
        <v>12</v>
      </c>
      <c r="F46" s="831" t="s">
        <v>633</v>
      </c>
      <c r="G46" s="831" t="s">
        <v>763</v>
      </c>
      <c r="H46" s="831" t="s">
        <v>764</v>
      </c>
      <c r="I46" s="831">
        <v>3</v>
      </c>
      <c r="J46" s="831" t="s">
        <v>474</v>
      </c>
      <c r="K46" s="831">
        <f>SUMIF('CF.1'!$D:$D,CFS!G46,'CF.1'!$T:$T)</f>
        <v>4200000000</v>
      </c>
      <c r="L46" s="231">
        <f>K46+T198_TB!V8</f>
        <v>3577996809</v>
      </c>
      <c r="M46" s="832">
        <f t="shared" si="3"/>
        <v>-622003191</v>
      </c>
      <c r="N46" s="541"/>
      <c r="O46" s="833">
        <f>SUMIF(T198_TB!$F:$F,CFS!H46,T198_TB!$L:$L)</f>
        <v>3577996809</v>
      </c>
      <c r="P46" s="831">
        <f t="shared" si="2"/>
        <v>0</v>
      </c>
      <c r="Q46" s="834"/>
    </row>
    <row r="47" spans="4:17" ht="18" customHeight="1">
      <c r="D47" s="233">
        <v>2020</v>
      </c>
      <c r="E47" s="231">
        <v>12</v>
      </c>
      <c r="F47" s="231" t="s">
        <v>633</v>
      </c>
      <c r="G47" s="231" t="s">
        <v>765</v>
      </c>
      <c r="H47" s="231" t="s">
        <v>766</v>
      </c>
      <c r="I47" s="236">
        <v>3</v>
      </c>
      <c r="J47" s="231" t="s">
        <v>474</v>
      </c>
      <c r="K47" s="231">
        <f>SUMIF('CF.1'!$D:$D,CFS!G47,'CF.1'!$T:$T)</f>
        <v>0</v>
      </c>
      <c r="L47" s="231">
        <f t="shared" ref="L47:L61" si="4">K47</f>
        <v>0</v>
      </c>
      <c r="M47" s="234">
        <f t="shared" si="3"/>
        <v>0</v>
      </c>
      <c r="O47" s="239">
        <f>SUMIF(T198_TB!$F:$F,CFS!H47,T198_TB!$L:$L)</f>
        <v>0</v>
      </c>
      <c r="P47" s="236">
        <f t="shared" si="2"/>
        <v>0</v>
      </c>
      <c r="Q47" s="232"/>
    </row>
    <row r="48" spans="4:17" ht="18" customHeight="1">
      <c r="D48" s="233">
        <v>2020</v>
      </c>
      <c r="E48" s="231">
        <v>12</v>
      </c>
      <c r="F48" s="231" t="s">
        <v>633</v>
      </c>
      <c r="G48" s="231" t="s">
        <v>767</v>
      </c>
      <c r="H48" s="231" t="s">
        <v>1545</v>
      </c>
      <c r="I48" s="236">
        <v>3</v>
      </c>
      <c r="J48" s="231" t="s">
        <v>474</v>
      </c>
      <c r="K48" s="231">
        <f>SUMIF('CF.1'!$D:$D,CFS!G48,'CF.1'!$T:$T)</f>
        <v>-25847844</v>
      </c>
      <c r="L48" s="231">
        <f t="shared" si="4"/>
        <v>-25847844</v>
      </c>
      <c r="M48" s="234">
        <f t="shared" si="3"/>
        <v>0</v>
      </c>
      <c r="O48" s="239">
        <f>SUMIF(T198_TB!$F:$F,CFS!H48,T198_TB!$L:$L)</f>
        <v>0</v>
      </c>
      <c r="P48" s="236">
        <f t="shared" si="2"/>
        <v>25847844</v>
      </c>
      <c r="Q48" s="232" t="s">
        <v>2021</v>
      </c>
    </row>
    <row r="49" spans="4:17" ht="18" customHeight="1">
      <c r="D49" s="233">
        <v>2020</v>
      </c>
      <c r="E49" s="231">
        <v>12</v>
      </c>
      <c r="F49" s="231" t="s">
        <v>633</v>
      </c>
      <c r="G49" s="231" t="s">
        <v>768</v>
      </c>
      <c r="H49" s="231" t="s">
        <v>769</v>
      </c>
      <c r="I49" s="236">
        <v>3</v>
      </c>
      <c r="J49" s="231" t="s">
        <v>474</v>
      </c>
      <c r="K49" s="231">
        <f>SUMIF('CF.1'!$D:$D,CFS!G49,'CF.1'!$T:$T)</f>
        <v>0</v>
      </c>
      <c r="L49" s="231">
        <f t="shared" si="4"/>
        <v>0</v>
      </c>
      <c r="M49" s="234">
        <f t="shared" si="3"/>
        <v>0</v>
      </c>
      <c r="O49" s="239">
        <f>SUMIF(T198_TB!$F:$F,CFS!H49,T198_TB!$L:$L)</f>
        <v>0</v>
      </c>
      <c r="P49" s="236">
        <f t="shared" si="2"/>
        <v>0</v>
      </c>
      <c r="Q49" s="232"/>
    </row>
    <row r="50" spans="4:17" ht="18" customHeight="1">
      <c r="D50" s="233">
        <v>2020</v>
      </c>
      <c r="E50" s="231">
        <v>12</v>
      </c>
      <c r="F50" s="231" t="s">
        <v>633</v>
      </c>
      <c r="G50" s="231" t="s">
        <v>770</v>
      </c>
      <c r="H50" s="231" t="s">
        <v>771</v>
      </c>
      <c r="I50" s="236">
        <v>3</v>
      </c>
      <c r="J50" s="231" t="s">
        <v>474</v>
      </c>
      <c r="K50" s="231">
        <f>SUMIF('CF.1'!$D:$D,CFS!G50,'CF.1'!$T:$T)</f>
        <v>0</v>
      </c>
      <c r="L50" s="231">
        <f t="shared" si="4"/>
        <v>0</v>
      </c>
      <c r="M50" s="234">
        <f t="shared" si="3"/>
        <v>0</v>
      </c>
      <c r="O50" s="239">
        <f>SUMIF(T198_TB!$F:$F,CFS!H50,T198_TB!$L:$L)</f>
        <v>0</v>
      </c>
      <c r="P50" s="236">
        <f t="shared" si="2"/>
        <v>0</v>
      </c>
      <c r="Q50" s="232"/>
    </row>
    <row r="51" spans="4:17" ht="18" customHeight="1">
      <c r="D51" s="233">
        <v>2020</v>
      </c>
      <c r="E51" s="231">
        <v>12</v>
      </c>
      <c r="F51" s="231" t="s">
        <v>633</v>
      </c>
      <c r="G51" s="231" t="s">
        <v>772</v>
      </c>
      <c r="H51" s="231" t="s">
        <v>773</v>
      </c>
      <c r="I51" s="236">
        <v>3</v>
      </c>
      <c r="J51" s="231" t="s">
        <v>474</v>
      </c>
      <c r="K51" s="231">
        <f>SUMIF('CF.1'!$D:$D,CFS!G51,'CF.1'!$T:$T)</f>
        <v>0</v>
      </c>
      <c r="L51" s="231">
        <f t="shared" si="4"/>
        <v>0</v>
      </c>
      <c r="M51" s="234">
        <f t="shared" si="3"/>
        <v>0</v>
      </c>
      <c r="O51" s="239">
        <f>SUMIF(T198_TB!$F:$F,CFS!H51,T198_TB!$L:$L)</f>
        <v>0</v>
      </c>
      <c r="P51" s="236">
        <f t="shared" si="2"/>
        <v>0</v>
      </c>
      <c r="Q51" s="232"/>
    </row>
    <row r="52" spans="4:17" ht="18" customHeight="1">
      <c r="D52" s="233">
        <v>2020</v>
      </c>
      <c r="E52" s="231">
        <v>12</v>
      </c>
      <c r="F52" s="231" t="s">
        <v>633</v>
      </c>
      <c r="G52" s="231" t="s">
        <v>774</v>
      </c>
      <c r="H52" s="231" t="s">
        <v>260</v>
      </c>
      <c r="I52" s="236">
        <v>3</v>
      </c>
      <c r="J52" s="231" t="s">
        <v>474</v>
      </c>
      <c r="K52" s="231">
        <f>SUMIF('CF.1'!$D:$D,CFS!G52,'CF.1'!$T:$T)</f>
        <v>0</v>
      </c>
      <c r="L52" s="231">
        <f t="shared" si="4"/>
        <v>0</v>
      </c>
      <c r="M52" s="234">
        <f t="shared" si="3"/>
        <v>0</v>
      </c>
      <c r="O52" s="239">
        <f>SUMIF(T198_TB!$F:$F,CFS!H52,T198_TB!$L:$L)</f>
        <v>15962194642</v>
      </c>
      <c r="P52" s="236">
        <f t="shared" si="2"/>
        <v>15962194642</v>
      </c>
      <c r="Q52" s="232"/>
    </row>
    <row r="53" spans="4:17" ht="18" customHeight="1">
      <c r="D53" s="233">
        <v>2020</v>
      </c>
      <c r="E53" s="231">
        <v>12</v>
      </c>
      <c r="F53" s="231" t="s">
        <v>633</v>
      </c>
      <c r="G53" s="231" t="s">
        <v>775</v>
      </c>
      <c r="H53" s="231" t="s">
        <v>776</v>
      </c>
      <c r="I53" s="236">
        <v>3</v>
      </c>
      <c r="J53" s="231" t="s">
        <v>474</v>
      </c>
      <c r="K53" s="231">
        <f>SUMIF('CF.1'!$D:$D,CFS!G53,'CF.1'!$T:$T)</f>
        <v>0</v>
      </c>
      <c r="L53" s="231">
        <f t="shared" si="4"/>
        <v>0</v>
      </c>
      <c r="M53" s="234">
        <f t="shared" si="3"/>
        <v>0</v>
      </c>
      <c r="O53" s="239">
        <f>SUMIF(T198_TB!$F:$F,CFS!H53,T198_TB!$L:$L)</f>
        <v>0</v>
      </c>
      <c r="P53" s="236">
        <f t="shared" si="2"/>
        <v>0</v>
      </c>
      <c r="Q53" s="232"/>
    </row>
    <row r="54" spans="4:17" ht="18" customHeight="1">
      <c r="D54" s="233">
        <v>2020</v>
      </c>
      <c r="E54" s="231">
        <v>12</v>
      </c>
      <c r="F54" s="231" t="s">
        <v>633</v>
      </c>
      <c r="G54" s="231" t="s">
        <v>777</v>
      </c>
      <c r="H54" s="231" t="s">
        <v>778</v>
      </c>
      <c r="I54" s="236">
        <v>3</v>
      </c>
      <c r="J54" s="231" t="s">
        <v>474</v>
      </c>
      <c r="K54" s="231">
        <f>SUMIF('CF.1'!$D:$D,CFS!G54,'CF.1'!$T:$T)</f>
        <v>0</v>
      </c>
      <c r="L54" s="231">
        <f t="shared" si="4"/>
        <v>0</v>
      </c>
      <c r="M54" s="234">
        <f t="shared" si="3"/>
        <v>0</v>
      </c>
      <c r="O54" s="239">
        <f>SUMIF(T198_TB!$F:$F,CFS!H54,T198_TB!$L:$L)</f>
        <v>0</v>
      </c>
      <c r="P54" s="236">
        <f t="shared" si="2"/>
        <v>0</v>
      </c>
      <c r="Q54" s="232"/>
    </row>
    <row r="55" spans="4:17" ht="18" customHeight="1">
      <c r="D55" s="233">
        <v>2020</v>
      </c>
      <c r="E55" s="231">
        <v>12</v>
      </c>
      <c r="F55" s="231" t="s">
        <v>633</v>
      </c>
      <c r="G55" s="231" t="s">
        <v>779</v>
      </c>
      <c r="H55" s="231" t="s">
        <v>780</v>
      </c>
      <c r="I55" s="236">
        <v>3</v>
      </c>
      <c r="J55" s="231" t="s">
        <v>474</v>
      </c>
      <c r="K55" s="231">
        <f>SUMIF('CF.1'!$D:$D,CFS!G55,'CF.1'!$T:$T)</f>
        <v>0</v>
      </c>
      <c r="L55" s="231">
        <f t="shared" si="4"/>
        <v>0</v>
      </c>
      <c r="M55" s="234">
        <f t="shared" si="3"/>
        <v>0</v>
      </c>
      <c r="O55" s="239">
        <f>SUMIF(T198_TB!$F:$F,CFS!H55,T198_TB!$L:$L)</f>
        <v>0</v>
      </c>
      <c r="P55" s="236">
        <f t="shared" si="2"/>
        <v>0</v>
      </c>
      <c r="Q55" s="232"/>
    </row>
    <row r="56" spans="4:17" ht="18" customHeight="1">
      <c r="D56" s="233">
        <v>2020</v>
      </c>
      <c r="E56" s="231">
        <v>12</v>
      </c>
      <c r="F56" s="231" t="s">
        <v>633</v>
      </c>
      <c r="G56" s="231" t="s">
        <v>781</v>
      </c>
      <c r="H56" s="231" t="s">
        <v>782</v>
      </c>
      <c r="I56" s="236">
        <v>3</v>
      </c>
      <c r="J56" s="231" t="s">
        <v>474</v>
      </c>
      <c r="K56" s="231">
        <f>SUMIF('CF.1'!$D:$D,CFS!G56,'CF.1'!$T:$T)</f>
        <v>0</v>
      </c>
      <c r="L56" s="231">
        <f t="shared" si="4"/>
        <v>0</v>
      </c>
      <c r="M56" s="234">
        <f t="shared" si="3"/>
        <v>0</v>
      </c>
      <c r="O56" s="239">
        <f>SUMIF(T198_TB!$F:$F,CFS!H56,T198_TB!$L:$L)</f>
        <v>0</v>
      </c>
      <c r="P56" s="236">
        <f t="shared" si="2"/>
        <v>0</v>
      </c>
      <c r="Q56" s="232"/>
    </row>
    <row r="57" spans="4:17" ht="18" customHeight="1">
      <c r="D57" s="233">
        <v>2020</v>
      </c>
      <c r="E57" s="231">
        <v>12</v>
      </c>
      <c r="F57" s="231" t="s">
        <v>633</v>
      </c>
      <c r="G57" s="231" t="s">
        <v>783</v>
      </c>
      <c r="H57" s="231" t="s">
        <v>689</v>
      </c>
      <c r="I57" s="236">
        <v>3</v>
      </c>
      <c r="J57" s="231" t="s">
        <v>474</v>
      </c>
      <c r="K57" s="231">
        <f>SUMIF('CF.1'!$D:$D,CFS!G57,'CF.1'!$T:$T)</f>
        <v>0</v>
      </c>
      <c r="L57" s="231">
        <f t="shared" si="4"/>
        <v>0</v>
      </c>
      <c r="M57" s="234">
        <f t="shared" si="3"/>
        <v>0</v>
      </c>
      <c r="O57" s="239">
        <f>SUMIF(T198_TB!$F:$F,CFS!H57,T198_TB!$L:$L)</f>
        <v>742228141</v>
      </c>
      <c r="P57" s="236">
        <f t="shared" si="2"/>
        <v>742228141</v>
      </c>
      <c r="Q57" s="232"/>
    </row>
    <row r="58" spans="4:17" ht="18" customHeight="1">
      <c r="D58" s="233">
        <v>2020</v>
      </c>
      <c r="E58" s="231">
        <v>12</v>
      </c>
      <c r="F58" s="231" t="s">
        <v>633</v>
      </c>
      <c r="G58" s="231" t="s">
        <v>784</v>
      </c>
      <c r="H58" s="231" t="s">
        <v>682</v>
      </c>
      <c r="I58" s="236">
        <v>3</v>
      </c>
      <c r="J58" s="231" t="s">
        <v>474</v>
      </c>
      <c r="K58" s="231">
        <f>SUMIF('CF.1'!$D:$D,CFS!G58,'CF.1'!$T:$T)</f>
        <v>172075657</v>
      </c>
      <c r="L58" s="231">
        <f t="shared" si="4"/>
        <v>172075657</v>
      </c>
      <c r="M58" s="234">
        <f t="shared" si="3"/>
        <v>0</v>
      </c>
      <c r="O58" s="239">
        <f>SUM(T198_TB!L145:L146)</f>
        <v>172075657</v>
      </c>
      <c r="P58" s="236">
        <f t="shared" si="2"/>
        <v>0</v>
      </c>
      <c r="Q58" s="232"/>
    </row>
    <row r="59" spans="4:17" ht="18" customHeight="1">
      <c r="D59" s="233">
        <v>2020</v>
      </c>
      <c r="E59" s="231">
        <v>12</v>
      </c>
      <c r="F59" s="231" t="s">
        <v>633</v>
      </c>
      <c r="G59" s="231" t="s">
        <v>785</v>
      </c>
      <c r="H59" s="231" t="s">
        <v>380</v>
      </c>
      <c r="I59" s="236">
        <v>3</v>
      </c>
      <c r="J59" s="231" t="s">
        <v>474</v>
      </c>
      <c r="K59" s="231">
        <f>SUMIF('CF.1'!$D:$D,CFS!G59,'CF.1'!$T:$T)</f>
        <v>-1980322895</v>
      </c>
      <c r="L59" s="231">
        <f t="shared" si="4"/>
        <v>-1980322895</v>
      </c>
      <c r="M59" s="234">
        <f t="shared" si="3"/>
        <v>0</v>
      </c>
      <c r="O59" s="239">
        <f>SUMIF(T198_TB!$F:$F,CFS!H59,T198_TB!$L:$L)</f>
        <v>-1980322895</v>
      </c>
      <c r="P59" s="236">
        <f t="shared" si="2"/>
        <v>0</v>
      </c>
      <c r="Q59" s="232"/>
    </row>
    <row r="60" spans="4:17" ht="18" customHeight="1">
      <c r="D60" s="233">
        <v>2020</v>
      </c>
      <c r="E60" s="231">
        <v>12</v>
      </c>
      <c r="F60" s="231" t="s">
        <v>633</v>
      </c>
      <c r="G60" s="231" t="s">
        <v>1546</v>
      </c>
      <c r="H60" s="231" t="s">
        <v>1547</v>
      </c>
      <c r="I60" s="236">
        <v>3</v>
      </c>
      <c r="J60" s="231" t="s">
        <v>474</v>
      </c>
      <c r="K60" s="231">
        <f>SUMIF('CF.1'!$D:$D,CFS!G60,'CF.1'!$T:$T)</f>
        <v>0</v>
      </c>
      <c r="L60" s="231">
        <f t="shared" si="4"/>
        <v>0</v>
      </c>
      <c r="M60" s="234">
        <f t="shared" si="3"/>
        <v>0</v>
      </c>
      <c r="O60" s="239">
        <f>SUMIF(T198_TB!$F:$F,CFS!H60,T198_TB!$L:$L)</f>
        <v>0</v>
      </c>
      <c r="P60" s="236">
        <f t="shared" si="2"/>
        <v>0</v>
      </c>
      <c r="Q60" s="232"/>
    </row>
    <row r="61" spans="4:17" ht="18" customHeight="1">
      <c r="D61" s="233">
        <v>2020</v>
      </c>
      <c r="E61" s="231">
        <v>12</v>
      </c>
      <c r="F61" s="231" t="s">
        <v>633</v>
      </c>
      <c r="G61" s="231" t="s">
        <v>804</v>
      </c>
      <c r="H61" s="231" t="s">
        <v>1548</v>
      </c>
      <c r="I61" s="236">
        <v>3</v>
      </c>
      <c r="J61" s="231" t="s">
        <v>474</v>
      </c>
      <c r="K61" s="231">
        <f>SUMIF('CF.1'!$D:$D,CFS!G61,'CF.1'!$T:$T)</f>
        <v>0</v>
      </c>
      <c r="L61" s="231">
        <f t="shared" si="4"/>
        <v>0</v>
      </c>
      <c r="M61" s="234">
        <f t="shared" si="3"/>
        <v>0</v>
      </c>
      <c r="O61" s="239">
        <f>SUMIF(T198_TB!$F:$F,CFS!H61,T198_TB!$L:$L)</f>
        <v>0</v>
      </c>
      <c r="P61" s="236">
        <f t="shared" si="2"/>
        <v>0</v>
      </c>
      <c r="Q61" s="232"/>
    </row>
    <row r="62" spans="4:17" ht="18" customHeight="1">
      <c r="D62" s="227">
        <v>2020</v>
      </c>
      <c r="E62" s="228">
        <v>12</v>
      </c>
      <c r="F62" s="228" t="s">
        <v>633</v>
      </c>
      <c r="G62" s="228" t="s">
        <v>806</v>
      </c>
      <c r="H62" s="228" t="s">
        <v>807</v>
      </c>
      <c r="I62" s="228">
        <v>2</v>
      </c>
      <c r="J62" s="228" t="s">
        <v>474</v>
      </c>
      <c r="K62" s="228">
        <f>SUM(K63:K105)</f>
        <v>-673250071</v>
      </c>
      <c r="L62" s="228">
        <f>SUM(L63:L105)</f>
        <v>-673250071</v>
      </c>
      <c r="M62" s="229">
        <f>SUM(M63:M105)</f>
        <v>0</v>
      </c>
      <c r="O62" s="230">
        <f>K62-'CF.1'!T74</f>
        <v>0</v>
      </c>
      <c r="P62" s="231"/>
      <c r="Q62" s="232"/>
    </row>
    <row r="63" spans="4:17" ht="18" customHeight="1">
      <c r="D63" s="235">
        <v>2020</v>
      </c>
      <c r="E63" s="236">
        <v>12</v>
      </c>
      <c r="F63" s="236" t="s">
        <v>633</v>
      </c>
      <c r="G63" s="236" t="s">
        <v>808</v>
      </c>
      <c r="H63" s="236" t="s">
        <v>676</v>
      </c>
      <c r="I63" s="236">
        <v>3</v>
      </c>
      <c r="J63" s="236" t="s">
        <v>474</v>
      </c>
      <c r="K63" s="236">
        <f>SUMIF('CF.1'!$D:$D,CFS!G63,'CF.1'!$T:$T)</f>
        <v>-48978076</v>
      </c>
      <c r="L63" s="231">
        <f t="shared" ref="L63:L105" si="5">K63</f>
        <v>-48978076</v>
      </c>
      <c r="M63" s="237">
        <f t="shared" ref="M63:M105" si="6">L63-K63</f>
        <v>0</v>
      </c>
      <c r="O63" s="239">
        <f>SUMIF(T198_TB!$F:$F,CFS!H63,T198_TB!$L:$L)</f>
        <v>-48978076</v>
      </c>
      <c r="P63" s="236">
        <f t="shared" si="2"/>
        <v>0</v>
      </c>
      <c r="Q63" s="232"/>
    </row>
    <row r="64" spans="4:17" s="238" customFormat="1" ht="18" customHeight="1">
      <c r="D64" s="235">
        <v>2020</v>
      </c>
      <c r="E64" s="236">
        <v>12</v>
      </c>
      <c r="F64" s="236" t="s">
        <v>633</v>
      </c>
      <c r="G64" s="236" t="s">
        <v>809</v>
      </c>
      <c r="H64" s="236" t="s">
        <v>810</v>
      </c>
      <c r="I64" s="236">
        <v>3</v>
      </c>
      <c r="J64" s="236" t="s">
        <v>474</v>
      </c>
      <c r="K64" s="236">
        <v>0</v>
      </c>
      <c r="L64" s="231">
        <f t="shared" si="5"/>
        <v>0</v>
      </c>
      <c r="M64" s="237">
        <f t="shared" si="6"/>
        <v>0</v>
      </c>
      <c r="O64" s="239">
        <f>SUMIF(T198_TB!$F:$F,CFS!H64,T198_TB!$L:$L)</f>
        <v>0</v>
      </c>
      <c r="P64" s="236">
        <f t="shared" si="2"/>
        <v>0</v>
      </c>
      <c r="Q64" s="240"/>
    </row>
    <row r="65" spans="4:17" s="238" customFormat="1" ht="18" customHeight="1">
      <c r="D65" s="235">
        <v>2020</v>
      </c>
      <c r="E65" s="236">
        <v>12</v>
      </c>
      <c r="F65" s="236" t="s">
        <v>633</v>
      </c>
      <c r="G65" s="236" t="s">
        <v>811</v>
      </c>
      <c r="H65" s="236" t="s">
        <v>812</v>
      </c>
      <c r="I65" s="236">
        <v>3</v>
      </c>
      <c r="J65" s="236" t="s">
        <v>474</v>
      </c>
      <c r="K65" s="236">
        <f>SUMIF('CF.1'!$D:$D,CFS!G65,'CF.1'!$T:$T)</f>
        <v>0</v>
      </c>
      <c r="L65" s="231">
        <f t="shared" si="5"/>
        <v>0</v>
      </c>
      <c r="M65" s="237">
        <f t="shared" si="6"/>
        <v>0</v>
      </c>
      <c r="O65" s="239">
        <f>SUMIF(T198_TB!$F:$F,CFS!H65,T198_TB!$L:$L)</f>
        <v>0</v>
      </c>
      <c r="P65" s="236">
        <f t="shared" si="2"/>
        <v>0</v>
      </c>
      <c r="Q65" s="240"/>
    </row>
    <row r="66" spans="4:17" s="238" customFormat="1" ht="18" customHeight="1">
      <c r="D66" s="235">
        <v>2020</v>
      </c>
      <c r="E66" s="236">
        <v>12</v>
      </c>
      <c r="F66" s="236" t="s">
        <v>633</v>
      </c>
      <c r="G66" s="236" t="s">
        <v>1549</v>
      </c>
      <c r="H66" s="236" t="s">
        <v>1550</v>
      </c>
      <c r="I66" s="236">
        <v>3</v>
      </c>
      <c r="J66" s="236" t="s">
        <v>474</v>
      </c>
      <c r="K66" s="236">
        <f>SUMIF('CF.1'!$D:$D,CFS!G66,'CF.1'!$T:$T)</f>
        <v>0</v>
      </c>
      <c r="L66" s="231">
        <f t="shared" si="5"/>
        <v>0</v>
      </c>
      <c r="M66" s="237">
        <f t="shared" si="6"/>
        <v>0</v>
      </c>
      <c r="O66" s="239">
        <f>SUMIF(T198_TB!$F:$F,CFS!H66,T198_TB!$L:$L)</f>
        <v>0</v>
      </c>
      <c r="P66" s="236">
        <f t="shared" si="2"/>
        <v>0</v>
      </c>
      <c r="Q66" s="240"/>
    </row>
    <row r="67" spans="4:17" ht="18" customHeight="1">
      <c r="D67" s="235">
        <v>2020</v>
      </c>
      <c r="E67" s="236">
        <v>12</v>
      </c>
      <c r="F67" s="236" t="s">
        <v>633</v>
      </c>
      <c r="G67" s="236" t="s">
        <v>1551</v>
      </c>
      <c r="H67" s="236" t="s">
        <v>1552</v>
      </c>
      <c r="I67" s="236">
        <v>3</v>
      </c>
      <c r="J67" s="236" t="s">
        <v>474</v>
      </c>
      <c r="K67" s="236">
        <f>SUMIF('CF.1'!$D:$D,CFS!G67,'CF.1'!$T:$T)</f>
        <v>0</v>
      </c>
      <c r="L67" s="231">
        <f t="shared" si="5"/>
        <v>0</v>
      </c>
      <c r="M67" s="237">
        <f t="shared" si="6"/>
        <v>0</v>
      </c>
      <c r="O67" s="239">
        <f>SUMIF(T198_TB!$F:$F,CFS!H67,T198_TB!$L:$L)</f>
        <v>0</v>
      </c>
      <c r="P67" s="236">
        <f t="shared" si="2"/>
        <v>0</v>
      </c>
      <c r="Q67" s="232"/>
    </row>
    <row r="68" spans="4:17" ht="18" customHeight="1">
      <c r="D68" s="235">
        <v>2020</v>
      </c>
      <c r="E68" s="236">
        <v>12</v>
      </c>
      <c r="F68" s="236" t="s">
        <v>633</v>
      </c>
      <c r="G68" s="236" t="s">
        <v>813</v>
      </c>
      <c r="H68" s="236" t="s">
        <v>814</v>
      </c>
      <c r="I68" s="236">
        <v>3</v>
      </c>
      <c r="J68" s="236" t="s">
        <v>474</v>
      </c>
      <c r="K68" s="236">
        <f>SUMIF('CF.1'!$D:$D,CFS!G68,'CF.1'!$T:$T)</f>
        <v>0</v>
      </c>
      <c r="L68" s="231">
        <f t="shared" si="5"/>
        <v>0</v>
      </c>
      <c r="M68" s="237">
        <f t="shared" si="6"/>
        <v>0</v>
      </c>
      <c r="O68" s="239">
        <f>SUMIF(T198_TB!$F:$F,CFS!H68,T198_TB!$L:$L)</f>
        <v>0</v>
      </c>
      <c r="P68" s="236">
        <f t="shared" si="2"/>
        <v>0</v>
      </c>
      <c r="Q68" s="232"/>
    </row>
    <row r="69" spans="4:17" ht="18" customHeight="1">
      <c r="D69" s="235">
        <v>2020</v>
      </c>
      <c r="E69" s="236">
        <v>12</v>
      </c>
      <c r="F69" s="236" t="s">
        <v>633</v>
      </c>
      <c r="G69" s="236" t="s">
        <v>882</v>
      </c>
      <c r="H69" s="236" t="s">
        <v>883</v>
      </c>
      <c r="I69" s="236">
        <v>3</v>
      </c>
      <c r="J69" s="236" t="s">
        <v>474</v>
      </c>
      <c r="K69" s="236">
        <f>SUMIF('CF.1'!$D:$D,CFS!G69,'CF.1'!$T:$T)</f>
        <v>0</v>
      </c>
      <c r="L69" s="231">
        <f t="shared" si="5"/>
        <v>0</v>
      </c>
      <c r="M69" s="237"/>
      <c r="O69" s="239"/>
      <c r="P69" s="236"/>
      <c r="Q69" s="232"/>
    </row>
    <row r="70" spans="4:17" ht="18" customHeight="1">
      <c r="D70" s="235">
        <v>2020</v>
      </c>
      <c r="E70" s="236">
        <v>12</v>
      </c>
      <c r="F70" s="236" t="s">
        <v>633</v>
      </c>
      <c r="G70" s="236" t="s">
        <v>884</v>
      </c>
      <c r="H70" s="236" t="s">
        <v>885</v>
      </c>
      <c r="I70" s="236">
        <v>3</v>
      </c>
      <c r="J70" s="236" t="s">
        <v>474</v>
      </c>
      <c r="K70" s="236">
        <f>SUMIF('CF.1'!$D:$D,CFS!G70,'CF.1'!$T:$T)</f>
        <v>0</v>
      </c>
      <c r="L70" s="231">
        <f t="shared" si="5"/>
        <v>0</v>
      </c>
      <c r="M70" s="237"/>
      <c r="O70" s="239"/>
      <c r="P70" s="236"/>
      <c r="Q70" s="232"/>
    </row>
    <row r="71" spans="4:17" ht="18" customHeight="1">
      <c r="D71" s="233">
        <v>2020</v>
      </c>
      <c r="E71" s="231">
        <v>12</v>
      </c>
      <c r="F71" s="231" t="s">
        <v>633</v>
      </c>
      <c r="G71" s="231" t="s">
        <v>815</v>
      </c>
      <c r="H71" s="231" t="s">
        <v>816</v>
      </c>
      <c r="I71" s="231">
        <v>3</v>
      </c>
      <c r="J71" s="231" t="s">
        <v>474</v>
      </c>
      <c r="K71" s="231">
        <f>SUMIF('CF.1'!$D:$D,CFS!G71,'CF.1'!$T:$T)</f>
        <v>0</v>
      </c>
      <c r="L71" s="231">
        <f t="shared" si="5"/>
        <v>0</v>
      </c>
      <c r="M71" s="234">
        <f t="shared" si="6"/>
        <v>0</v>
      </c>
      <c r="O71" s="239">
        <f>SUMIF(T198_TB!$F:$F,CFS!H71,T198_TB!$L:$L)</f>
        <v>0</v>
      </c>
      <c r="P71" s="236">
        <f t="shared" si="2"/>
        <v>0</v>
      </c>
      <c r="Q71" s="232"/>
    </row>
    <row r="72" spans="4:17" ht="18" customHeight="1">
      <c r="D72" s="233">
        <v>2020</v>
      </c>
      <c r="E72" s="231">
        <v>12</v>
      </c>
      <c r="F72" s="231" t="s">
        <v>633</v>
      </c>
      <c r="G72" s="231" t="s">
        <v>817</v>
      </c>
      <c r="H72" s="231" t="s">
        <v>818</v>
      </c>
      <c r="I72" s="231">
        <v>3</v>
      </c>
      <c r="J72" s="231" t="s">
        <v>474</v>
      </c>
      <c r="K72" s="231">
        <f>SUMIF('CF.1'!$D:$D,CFS!G72,'CF.1'!$T:$T)</f>
        <v>0</v>
      </c>
      <c r="L72" s="231">
        <f t="shared" si="5"/>
        <v>0</v>
      </c>
      <c r="M72" s="234">
        <f t="shared" si="6"/>
        <v>0</v>
      </c>
      <c r="O72" s="239">
        <f>SUMIF(T198_TB!$F:$F,CFS!H72,T198_TB!$L:$L)</f>
        <v>0</v>
      </c>
      <c r="P72" s="236">
        <f t="shared" si="2"/>
        <v>0</v>
      </c>
      <c r="Q72" s="232"/>
    </row>
    <row r="73" spans="4:17" ht="18" customHeight="1">
      <c r="D73" s="233">
        <v>2020</v>
      </c>
      <c r="E73" s="231">
        <v>12</v>
      </c>
      <c r="F73" s="231" t="s">
        <v>633</v>
      </c>
      <c r="G73" s="231" t="s">
        <v>819</v>
      </c>
      <c r="H73" s="231" t="s">
        <v>820</v>
      </c>
      <c r="I73" s="231">
        <v>3</v>
      </c>
      <c r="J73" s="231" t="s">
        <v>474</v>
      </c>
      <c r="K73" s="231">
        <f>SUMIF('CF.1'!$D:$D,CFS!G73,'CF.1'!$T:$T)</f>
        <v>0</v>
      </c>
      <c r="L73" s="231">
        <f t="shared" si="5"/>
        <v>0</v>
      </c>
      <c r="M73" s="234">
        <f t="shared" si="6"/>
        <v>0</v>
      </c>
      <c r="O73" s="239">
        <f>SUMIF(T198_TB!$F:$F,CFS!H73,T198_TB!$L:$L)</f>
        <v>0</v>
      </c>
      <c r="P73" s="236">
        <f t="shared" si="2"/>
        <v>0</v>
      </c>
      <c r="Q73" s="232"/>
    </row>
    <row r="74" spans="4:17" ht="18" customHeight="1">
      <c r="D74" s="233">
        <v>2020</v>
      </c>
      <c r="E74" s="231">
        <v>12</v>
      </c>
      <c r="F74" s="231" t="s">
        <v>633</v>
      </c>
      <c r="G74" s="231" t="s">
        <v>821</v>
      </c>
      <c r="H74" s="231" t="s">
        <v>822</v>
      </c>
      <c r="I74" s="231">
        <v>3</v>
      </c>
      <c r="J74" s="231" t="s">
        <v>474</v>
      </c>
      <c r="K74" s="231">
        <f>SUMIF('CF.1'!$D:$D,CFS!G74,'CF.1'!$T:$T)</f>
        <v>0</v>
      </c>
      <c r="L74" s="231">
        <f t="shared" si="5"/>
        <v>0</v>
      </c>
      <c r="M74" s="234">
        <f t="shared" si="6"/>
        <v>0</v>
      </c>
      <c r="O74" s="239">
        <f>SUMIF(T198_TB!$F:$F,CFS!H74,T198_TB!$L:$L)</f>
        <v>0</v>
      </c>
      <c r="P74" s="236">
        <f t="shared" si="2"/>
        <v>0</v>
      </c>
      <c r="Q74" s="232"/>
    </row>
    <row r="75" spans="4:17" ht="18" customHeight="1">
      <c r="D75" s="233">
        <v>2020</v>
      </c>
      <c r="E75" s="231">
        <v>12</v>
      </c>
      <c r="F75" s="231" t="s">
        <v>633</v>
      </c>
      <c r="G75" s="231" t="s">
        <v>823</v>
      </c>
      <c r="H75" s="231" t="s">
        <v>824</v>
      </c>
      <c r="I75" s="231">
        <v>3</v>
      </c>
      <c r="J75" s="231" t="s">
        <v>474</v>
      </c>
      <c r="K75" s="231">
        <f>SUMIF('CF.1'!$D:$D,CFS!G75,'CF.1'!$T:$T)</f>
        <v>0</v>
      </c>
      <c r="L75" s="231">
        <f t="shared" si="5"/>
        <v>0</v>
      </c>
      <c r="M75" s="234">
        <f t="shared" si="6"/>
        <v>0</v>
      </c>
      <c r="O75" s="239">
        <f>SUMIF(T198_TB!$F:$F,CFS!H75,T198_TB!$L:$L)</f>
        <v>0</v>
      </c>
      <c r="P75" s="236">
        <f t="shared" si="2"/>
        <v>0</v>
      </c>
      <c r="Q75" s="232"/>
    </row>
    <row r="76" spans="4:17" ht="18" customHeight="1">
      <c r="D76" s="233">
        <v>2020</v>
      </c>
      <c r="E76" s="231">
        <v>12</v>
      </c>
      <c r="F76" s="231" t="s">
        <v>633</v>
      </c>
      <c r="G76" s="231" t="s">
        <v>825</v>
      </c>
      <c r="H76" s="231" t="s">
        <v>826</v>
      </c>
      <c r="I76" s="231">
        <v>3</v>
      </c>
      <c r="J76" s="231" t="s">
        <v>474</v>
      </c>
      <c r="K76" s="231">
        <f>SUMIF('CF.1'!$D:$D,CFS!G76,'CF.1'!$T:$T)</f>
        <v>0</v>
      </c>
      <c r="L76" s="231">
        <f t="shared" si="5"/>
        <v>0</v>
      </c>
      <c r="M76" s="234">
        <f t="shared" si="6"/>
        <v>0</v>
      </c>
      <c r="O76" s="239">
        <f>SUMIF(T198_TB!$F:$F,CFS!H76,T198_TB!$L:$L)</f>
        <v>0</v>
      </c>
      <c r="P76" s="236">
        <f t="shared" ref="P76:P105" si="7">O76-L76</f>
        <v>0</v>
      </c>
      <c r="Q76" s="232"/>
    </row>
    <row r="77" spans="4:17" ht="18" customHeight="1">
      <c r="D77" s="233">
        <v>2020</v>
      </c>
      <c r="E77" s="231">
        <v>12</v>
      </c>
      <c r="F77" s="231" t="s">
        <v>633</v>
      </c>
      <c r="G77" s="231" t="s">
        <v>827</v>
      </c>
      <c r="H77" s="231" t="s">
        <v>828</v>
      </c>
      <c r="I77" s="231">
        <v>3</v>
      </c>
      <c r="J77" s="231" t="s">
        <v>474</v>
      </c>
      <c r="K77" s="231">
        <f>SUMIF('CF.1'!$D:$D,CFS!G77,'CF.1'!$T:$T)</f>
        <v>0</v>
      </c>
      <c r="L77" s="231">
        <f t="shared" si="5"/>
        <v>0</v>
      </c>
      <c r="M77" s="234">
        <f t="shared" si="6"/>
        <v>0</v>
      </c>
      <c r="O77" s="239">
        <f>SUMIF(T198_TB!$F:$F,CFS!H77,T198_TB!$L:$L)</f>
        <v>0</v>
      </c>
      <c r="P77" s="236">
        <f t="shared" si="7"/>
        <v>0</v>
      </c>
      <c r="Q77" s="232"/>
    </row>
    <row r="78" spans="4:17" ht="18" customHeight="1">
      <c r="D78" s="233">
        <v>2020</v>
      </c>
      <c r="E78" s="231">
        <v>12</v>
      </c>
      <c r="F78" s="231" t="s">
        <v>633</v>
      </c>
      <c r="G78" s="231" t="s">
        <v>829</v>
      </c>
      <c r="H78" s="231" t="s">
        <v>830</v>
      </c>
      <c r="I78" s="231">
        <v>3</v>
      </c>
      <c r="J78" s="231" t="s">
        <v>474</v>
      </c>
      <c r="K78" s="231">
        <f>SUMIF('CF.1'!$D:$D,CFS!G78,'CF.1'!$T:$T)</f>
        <v>0</v>
      </c>
      <c r="L78" s="231">
        <f t="shared" si="5"/>
        <v>0</v>
      </c>
      <c r="M78" s="234">
        <f t="shared" si="6"/>
        <v>0</v>
      </c>
      <c r="O78" s="239">
        <f>SUMIF(T198_TB!$F:$F,CFS!H78,T198_TB!$L:$L)</f>
        <v>0</v>
      </c>
      <c r="P78" s="236">
        <f t="shared" si="7"/>
        <v>0</v>
      </c>
      <c r="Q78" s="232"/>
    </row>
    <row r="79" spans="4:17" ht="18" customHeight="1">
      <c r="D79" s="233">
        <v>2020</v>
      </c>
      <c r="E79" s="231">
        <v>12</v>
      </c>
      <c r="F79" s="231" t="s">
        <v>633</v>
      </c>
      <c r="G79" s="231" t="s">
        <v>831</v>
      </c>
      <c r="H79" s="231" t="s">
        <v>832</v>
      </c>
      <c r="I79" s="231">
        <v>3</v>
      </c>
      <c r="J79" s="231" t="s">
        <v>474</v>
      </c>
      <c r="K79" s="231">
        <f>SUMIF('CF.1'!$D:$D,CFS!G79,'CF.1'!$T:$T)</f>
        <v>0</v>
      </c>
      <c r="L79" s="231">
        <f t="shared" si="5"/>
        <v>0</v>
      </c>
      <c r="M79" s="234">
        <f t="shared" si="6"/>
        <v>0</v>
      </c>
      <c r="O79" s="239">
        <f>SUMIF(T198_TB!$F:$F,CFS!H79,T198_TB!$L:$L)</f>
        <v>0</v>
      </c>
      <c r="P79" s="236">
        <f t="shared" si="7"/>
        <v>0</v>
      </c>
      <c r="Q79" s="232"/>
    </row>
    <row r="80" spans="4:17" ht="18" customHeight="1">
      <c r="D80" s="233">
        <v>2020</v>
      </c>
      <c r="E80" s="231">
        <v>12</v>
      </c>
      <c r="F80" s="231" t="s">
        <v>633</v>
      </c>
      <c r="G80" s="231" t="s">
        <v>833</v>
      </c>
      <c r="H80" s="231" t="s">
        <v>834</v>
      </c>
      <c r="I80" s="231">
        <v>3</v>
      </c>
      <c r="J80" s="231" t="s">
        <v>474</v>
      </c>
      <c r="K80" s="231">
        <f>SUMIF('CF.1'!$D:$D,CFS!G80,'CF.1'!$T:$T)</f>
        <v>0</v>
      </c>
      <c r="L80" s="231">
        <f t="shared" si="5"/>
        <v>0</v>
      </c>
      <c r="M80" s="234">
        <f t="shared" si="6"/>
        <v>0</v>
      </c>
      <c r="O80" s="239">
        <f>SUMIF(T198_TB!$F:$F,CFS!H80,T198_TB!$L:$L)</f>
        <v>0</v>
      </c>
      <c r="P80" s="236">
        <f t="shared" si="7"/>
        <v>0</v>
      </c>
      <c r="Q80" s="232"/>
    </row>
    <row r="81" spans="4:17" ht="18" customHeight="1">
      <c r="D81" s="233">
        <v>2020</v>
      </c>
      <c r="E81" s="231">
        <v>12</v>
      </c>
      <c r="F81" s="231" t="s">
        <v>633</v>
      </c>
      <c r="G81" s="231" t="s">
        <v>835</v>
      </c>
      <c r="H81" s="231" t="s">
        <v>679</v>
      </c>
      <c r="I81" s="231">
        <v>3</v>
      </c>
      <c r="J81" s="231" t="s">
        <v>474</v>
      </c>
      <c r="K81" s="231">
        <f>SUMIF('CF.1'!$D:$D,CFS!G81,'CF.1'!$T:$T)</f>
        <v>-2240200</v>
      </c>
      <c r="L81" s="231">
        <f t="shared" si="5"/>
        <v>-2240200</v>
      </c>
      <c r="M81" s="234">
        <f t="shared" si="6"/>
        <v>0</v>
      </c>
      <c r="O81" s="239">
        <f>SUMIF(T198_TB!$F:$F,CFS!H81,T198_TB!$L:$L)</f>
        <v>-2240200</v>
      </c>
      <c r="P81" s="236">
        <f t="shared" si="7"/>
        <v>0</v>
      </c>
      <c r="Q81" s="232"/>
    </row>
    <row r="82" spans="4:17" ht="18" customHeight="1">
      <c r="D82" s="233">
        <v>2020</v>
      </c>
      <c r="E82" s="231">
        <v>12</v>
      </c>
      <c r="F82" s="231" t="s">
        <v>633</v>
      </c>
      <c r="G82" s="231" t="s">
        <v>836</v>
      </c>
      <c r="H82" s="231" t="s">
        <v>837</v>
      </c>
      <c r="I82" s="231">
        <v>3</v>
      </c>
      <c r="J82" s="231" t="s">
        <v>474</v>
      </c>
      <c r="K82" s="231">
        <f>SUMIF('CF.1'!$D:$D,CFS!G82,'CF.1'!$T:$T)</f>
        <v>0</v>
      </c>
      <c r="L82" s="231">
        <f t="shared" si="5"/>
        <v>0</v>
      </c>
      <c r="M82" s="234">
        <f t="shared" si="6"/>
        <v>0</v>
      </c>
      <c r="O82" s="239">
        <f>SUMIF(T198_TB!$F:$F,CFS!H82,T198_TB!$L:$L)</f>
        <v>0</v>
      </c>
      <c r="P82" s="236">
        <f t="shared" si="7"/>
        <v>0</v>
      </c>
      <c r="Q82" s="232"/>
    </row>
    <row r="83" spans="4:17" ht="18" customHeight="1">
      <c r="D83" s="233">
        <v>2020</v>
      </c>
      <c r="E83" s="231">
        <v>12</v>
      </c>
      <c r="F83" s="231" t="s">
        <v>633</v>
      </c>
      <c r="G83" s="231" t="s">
        <v>838</v>
      </c>
      <c r="H83" s="231" t="s">
        <v>680</v>
      </c>
      <c r="I83" s="231">
        <v>3</v>
      </c>
      <c r="J83" s="231" t="s">
        <v>474</v>
      </c>
      <c r="K83" s="231">
        <f>SUMIF('CF.1'!$D:$D,CFS!G83,'CF.1'!$T:$T)</f>
        <v>0</v>
      </c>
      <c r="L83" s="231">
        <f t="shared" si="5"/>
        <v>0</v>
      </c>
      <c r="M83" s="234">
        <f t="shared" si="6"/>
        <v>0</v>
      </c>
      <c r="O83" s="239">
        <f>SUMIF(T198_TB!$F:$F,CFS!H83,T198_TB!$L:$L)</f>
        <v>0</v>
      </c>
      <c r="P83" s="236">
        <f t="shared" si="7"/>
        <v>0</v>
      </c>
      <c r="Q83" s="232"/>
    </row>
    <row r="84" spans="4:17" ht="18" customHeight="1">
      <c r="D84" s="233">
        <v>2020</v>
      </c>
      <c r="E84" s="231">
        <v>12</v>
      </c>
      <c r="F84" s="231" t="s">
        <v>633</v>
      </c>
      <c r="G84" s="231" t="s">
        <v>839</v>
      </c>
      <c r="H84" s="231" t="s">
        <v>840</v>
      </c>
      <c r="I84" s="231">
        <v>3</v>
      </c>
      <c r="J84" s="231" t="s">
        <v>474</v>
      </c>
      <c r="K84" s="231">
        <f>SUMIF('CF.1'!$D:$D,CFS!G84,'CF.1'!$T:$T)</f>
        <v>0</v>
      </c>
      <c r="L84" s="231">
        <f t="shared" si="5"/>
        <v>0</v>
      </c>
      <c r="M84" s="234">
        <f t="shared" si="6"/>
        <v>0</v>
      </c>
      <c r="O84" s="239">
        <f>SUMIF(T198_TB!$F:$F,CFS!H84,T198_TB!$L:$L)</f>
        <v>0</v>
      </c>
      <c r="P84" s="236">
        <f t="shared" si="7"/>
        <v>0</v>
      </c>
      <c r="Q84" s="232"/>
    </row>
    <row r="85" spans="4:17" ht="18" customHeight="1">
      <c r="D85" s="233">
        <v>2020</v>
      </c>
      <c r="E85" s="231">
        <v>12</v>
      </c>
      <c r="F85" s="231" t="s">
        <v>633</v>
      </c>
      <c r="G85" s="231" t="s">
        <v>841</v>
      </c>
      <c r="H85" s="231" t="s">
        <v>842</v>
      </c>
      <c r="I85" s="231">
        <v>3</v>
      </c>
      <c r="J85" s="231" t="s">
        <v>474</v>
      </c>
      <c r="K85" s="231">
        <f>SUMIF('CF.1'!$D:$D,CFS!G85,'CF.1'!$T:$T)</f>
        <v>0</v>
      </c>
      <c r="L85" s="231">
        <f t="shared" si="5"/>
        <v>0</v>
      </c>
      <c r="M85" s="234">
        <f t="shared" si="6"/>
        <v>0</v>
      </c>
      <c r="O85" s="239">
        <f>SUMIF(T198_TB!$F:$F,CFS!H85,T198_TB!$L:$L)</f>
        <v>0</v>
      </c>
      <c r="P85" s="236">
        <f t="shared" si="7"/>
        <v>0</v>
      </c>
      <c r="Q85" s="232"/>
    </row>
    <row r="86" spans="4:17" ht="18" customHeight="1">
      <c r="D86" s="233">
        <v>2020</v>
      </c>
      <c r="E86" s="231">
        <v>12</v>
      </c>
      <c r="F86" s="231" t="s">
        <v>633</v>
      </c>
      <c r="G86" s="231" t="s">
        <v>843</v>
      </c>
      <c r="H86" s="231" t="s">
        <v>844</v>
      </c>
      <c r="I86" s="231">
        <v>3</v>
      </c>
      <c r="J86" s="231" t="s">
        <v>474</v>
      </c>
      <c r="K86" s="231">
        <f>SUMIF('CF.1'!$D:$D,CFS!G86,'CF.1'!$T:$T)</f>
        <v>0</v>
      </c>
      <c r="L86" s="231">
        <f t="shared" si="5"/>
        <v>0</v>
      </c>
      <c r="M86" s="234">
        <f t="shared" si="6"/>
        <v>0</v>
      </c>
      <c r="O86" s="239">
        <f>SUMIF(T198_TB!$F:$F,CFS!H86,T198_TB!$L:$L)</f>
        <v>0</v>
      </c>
      <c r="P86" s="236">
        <f t="shared" si="7"/>
        <v>0</v>
      </c>
      <c r="Q86" s="232"/>
    </row>
    <row r="87" spans="4:17" ht="18" customHeight="1">
      <c r="D87" s="233">
        <v>2020</v>
      </c>
      <c r="E87" s="231">
        <v>12</v>
      </c>
      <c r="F87" s="231" t="s">
        <v>633</v>
      </c>
      <c r="G87" s="231" t="s">
        <v>845</v>
      </c>
      <c r="H87" s="231" t="s">
        <v>846</v>
      </c>
      <c r="I87" s="231">
        <v>3</v>
      </c>
      <c r="J87" s="231" t="s">
        <v>474</v>
      </c>
      <c r="K87" s="231">
        <f>SUMIF('CF.1'!$D:$D,CFS!G87,'CF.1'!$T:$T)</f>
        <v>0</v>
      </c>
      <c r="L87" s="231">
        <f t="shared" si="5"/>
        <v>0</v>
      </c>
      <c r="M87" s="234">
        <f t="shared" si="6"/>
        <v>0</v>
      </c>
      <c r="O87" s="239">
        <f>SUMIF(T198_TB!$F:$F,CFS!H87,T198_TB!$L:$L)</f>
        <v>0</v>
      </c>
      <c r="P87" s="236">
        <f t="shared" si="7"/>
        <v>0</v>
      </c>
      <c r="Q87" s="232"/>
    </row>
    <row r="88" spans="4:17" ht="18" customHeight="1">
      <c r="D88" s="233">
        <v>2020</v>
      </c>
      <c r="E88" s="231">
        <v>12</v>
      </c>
      <c r="F88" s="231" t="s">
        <v>633</v>
      </c>
      <c r="G88" s="231" t="s">
        <v>847</v>
      </c>
      <c r="H88" s="231" t="s">
        <v>848</v>
      </c>
      <c r="I88" s="231">
        <v>3</v>
      </c>
      <c r="J88" s="231" t="s">
        <v>474</v>
      </c>
      <c r="K88" s="231">
        <f>SUMIF('CF.1'!$D:$D,CFS!G88,'CF.1'!$T:$T)</f>
        <v>0</v>
      </c>
      <c r="L88" s="231">
        <f t="shared" si="5"/>
        <v>0</v>
      </c>
      <c r="M88" s="234">
        <f t="shared" si="6"/>
        <v>0</v>
      </c>
      <c r="O88" s="239">
        <f>SUMIF(T198_TB!$F:$F,CFS!H88,T198_TB!$L:$L)</f>
        <v>0</v>
      </c>
      <c r="P88" s="236">
        <f t="shared" si="7"/>
        <v>0</v>
      </c>
      <c r="Q88" s="232"/>
    </row>
    <row r="89" spans="4:17" ht="18" customHeight="1">
      <c r="D89" s="233">
        <v>2020</v>
      </c>
      <c r="E89" s="231">
        <v>12</v>
      </c>
      <c r="F89" s="231" t="s">
        <v>633</v>
      </c>
      <c r="G89" s="231" t="s">
        <v>849</v>
      </c>
      <c r="H89" s="231" t="s">
        <v>850</v>
      </c>
      <c r="I89" s="231">
        <v>3</v>
      </c>
      <c r="J89" s="231" t="s">
        <v>474</v>
      </c>
      <c r="K89" s="231">
        <f>SUMIF('CF.1'!$D:$D,CFS!G89,'CF.1'!$T:$T)</f>
        <v>0</v>
      </c>
      <c r="L89" s="231">
        <f t="shared" si="5"/>
        <v>0</v>
      </c>
      <c r="M89" s="234">
        <f t="shared" si="6"/>
        <v>0</v>
      </c>
      <c r="O89" s="239">
        <f>SUMIF(T198_TB!$F:$F,CFS!H89,T198_TB!$L:$L)</f>
        <v>0</v>
      </c>
      <c r="P89" s="236">
        <f t="shared" si="7"/>
        <v>0</v>
      </c>
      <c r="Q89" s="232"/>
    </row>
    <row r="90" spans="4:17" ht="18" customHeight="1">
      <c r="D90" s="233">
        <v>2020</v>
      </c>
      <c r="E90" s="231">
        <v>12</v>
      </c>
      <c r="F90" s="231" t="s">
        <v>633</v>
      </c>
      <c r="G90" s="231" t="s">
        <v>851</v>
      </c>
      <c r="H90" s="231" t="s">
        <v>852</v>
      </c>
      <c r="I90" s="231">
        <v>3</v>
      </c>
      <c r="J90" s="231" t="s">
        <v>474</v>
      </c>
      <c r="K90" s="231">
        <f>SUMIF('CF.1'!$D:$D,CFS!G90,'CF.1'!$T:$T)</f>
        <v>0</v>
      </c>
      <c r="L90" s="231">
        <f t="shared" si="5"/>
        <v>0</v>
      </c>
      <c r="M90" s="234">
        <f t="shared" si="6"/>
        <v>0</v>
      </c>
      <c r="O90" s="239">
        <f>SUMIF(T198_TB!$F:$F,CFS!H90,T198_TB!$L:$L)</f>
        <v>0</v>
      </c>
      <c r="P90" s="236">
        <f t="shared" si="7"/>
        <v>0</v>
      </c>
      <c r="Q90" s="232"/>
    </row>
    <row r="91" spans="4:17" ht="18" customHeight="1">
      <c r="D91" s="233">
        <v>2020</v>
      </c>
      <c r="E91" s="231">
        <v>12</v>
      </c>
      <c r="F91" s="231" t="s">
        <v>633</v>
      </c>
      <c r="G91" s="231" t="s">
        <v>853</v>
      </c>
      <c r="H91" s="231" t="s">
        <v>854</v>
      </c>
      <c r="I91" s="231">
        <v>3</v>
      </c>
      <c r="J91" s="231" t="s">
        <v>474</v>
      </c>
      <c r="K91" s="231">
        <f>SUMIF('CF.1'!$D:$D,CFS!G91,'CF.1'!$T:$T)</f>
        <v>0</v>
      </c>
      <c r="L91" s="231">
        <f t="shared" si="5"/>
        <v>0</v>
      </c>
      <c r="M91" s="234">
        <f t="shared" si="6"/>
        <v>0</v>
      </c>
      <c r="O91" s="239">
        <f>SUMIF(T198_TB!$F:$F,CFS!H91,T198_TB!$L:$L)</f>
        <v>0</v>
      </c>
      <c r="P91" s="236">
        <f t="shared" si="7"/>
        <v>0</v>
      </c>
      <c r="Q91" s="232"/>
    </row>
    <row r="92" spans="4:17" ht="18" customHeight="1">
      <c r="D92" s="233">
        <v>2020</v>
      </c>
      <c r="E92" s="231">
        <v>12</v>
      </c>
      <c r="F92" s="231" t="s">
        <v>633</v>
      </c>
      <c r="G92" s="231" t="s">
        <v>855</v>
      </c>
      <c r="H92" s="231" t="s">
        <v>856</v>
      </c>
      <c r="I92" s="231">
        <v>3</v>
      </c>
      <c r="J92" s="231" t="s">
        <v>474</v>
      </c>
      <c r="K92" s="231">
        <f>SUMIF('CF.1'!$D:$D,CFS!G92,'CF.1'!$T:$T)</f>
        <v>0</v>
      </c>
      <c r="L92" s="231">
        <f t="shared" si="5"/>
        <v>0</v>
      </c>
      <c r="M92" s="234">
        <f t="shared" si="6"/>
        <v>0</v>
      </c>
      <c r="O92" s="239">
        <f>SUMIF(T198_TB!$F:$F,CFS!H92,T198_TB!$L:$L)</f>
        <v>0</v>
      </c>
      <c r="P92" s="236">
        <f t="shared" si="7"/>
        <v>0</v>
      </c>
      <c r="Q92" s="232"/>
    </row>
    <row r="93" spans="4:17" ht="18" customHeight="1">
      <c r="D93" s="233">
        <v>2020</v>
      </c>
      <c r="E93" s="231">
        <v>12</v>
      </c>
      <c r="F93" s="231" t="s">
        <v>633</v>
      </c>
      <c r="G93" s="231" t="s">
        <v>857</v>
      </c>
      <c r="H93" s="231" t="s">
        <v>858</v>
      </c>
      <c r="I93" s="231">
        <v>3</v>
      </c>
      <c r="J93" s="231" t="s">
        <v>474</v>
      </c>
      <c r="K93" s="231">
        <f>SUMIF('CF.1'!$D:$D,CFS!G93,'CF.1'!$T:$T)</f>
        <v>0</v>
      </c>
      <c r="L93" s="231">
        <f t="shared" si="5"/>
        <v>0</v>
      </c>
      <c r="M93" s="234">
        <f t="shared" si="6"/>
        <v>0</v>
      </c>
      <c r="O93" s="239">
        <f>SUMIF(T198_TB!$F:$F,CFS!H93,T198_TB!$L:$L)</f>
        <v>0</v>
      </c>
      <c r="P93" s="236">
        <f t="shared" si="7"/>
        <v>0</v>
      </c>
      <c r="Q93" s="232"/>
    </row>
    <row r="94" spans="4:17" ht="18" customHeight="1">
      <c r="D94" s="233">
        <v>2020</v>
      </c>
      <c r="E94" s="231">
        <v>12</v>
      </c>
      <c r="F94" s="231" t="s">
        <v>633</v>
      </c>
      <c r="G94" s="231" t="s">
        <v>859</v>
      </c>
      <c r="H94" s="231" t="s">
        <v>860</v>
      </c>
      <c r="I94" s="231">
        <v>3</v>
      </c>
      <c r="J94" s="231" t="s">
        <v>474</v>
      </c>
      <c r="K94" s="231">
        <f>SUMIF('CF.1'!$D:$D,CFS!G94,'CF.1'!$T:$T)</f>
        <v>0</v>
      </c>
      <c r="L94" s="231">
        <f t="shared" si="5"/>
        <v>0</v>
      </c>
      <c r="M94" s="234">
        <f t="shared" si="6"/>
        <v>0</v>
      </c>
      <c r="O94" s="239">
        <f>SUMIF(T198_TB!$F:$F,CFS!H94,T198_TB!$L:$L)</f>
        <v>0</v>
      </c>
      <c r="P94" s="236">
        <f t="shared" si="7"/>
        <v>0</v>
      </c>
      <c r="Q94" s="232"/>
    </row>
    <row r="95" spans="4:17" ht="18" customHeight="1">
      <c r="D95" s="233">
        <v>2020</v>
      </c>
      <c r="E95" s="231">
        <v>12</v>
      </c>
      <c r="F95" s="231" t="s">
        <v>633</v>
      </c>
      <c r="G95" s="231" t="s">
        <v>861</v>
      </c>
      <c r="H95" s="231" t="s">
        <v>862</v>
      </c>
      <c r="I95" s="231">
        <v>3</v>
      </c>
      <c r="J95" s="231" t="s">
        <v>474</v>
      </c>
      <c r="K95" s="231">
        <f>SUMIF('CF.1'!$D:$D,CFS!G95,'CF.1'!$T:$T)</f>
        <v>0</v>
      </c>
      <c r="L95" s="231">
        <f t="shared" si="5"/>
        <v>0</v>
      </c>
      <c r="M95" s="234">
        <f t="shared" si="6"/>
        <v>0</v>
      </c>
      <c r="O95" s="239">
        <f>SUMIF(T198_TB!$F:$F,CFS!H95,T198_TB!$L:$L)</f>
        <v>0</v>
      </c>
      <c r="P95" s="236">
        <f t="shared" si="7"/>
        <v>0</v>
      </c>
      <c r="Q95" s="232"/>
    </row>
    <row r="96" spans="4:17" ht="18" customHeight="1">
      <c r="D96" s="233">
        <v>2020</v>
      </c>
      <c r="E96" s="231">
        <v>12</v>
      </c>
      <c r="F96" s="231" t="s">
        <v>633</v>
      </c>
      <c r="G96" s="231" t="s">
        <v>863</v>
      </c>
      <c r="H96" s="231" t="s">
        <v>864</v>
      </c>
      <c r="I96" s="231">
        <v>3</v>
      </c>
      <c r="J96" s="231" t="s">
        <v>474</v>
      </c>
      <c r="K96" s="231">
        <f>SUMIF('CF.1'!$D:$D,CFS!G96,'CF.1'!$T:$T)</f>
        <v>0</v>
      </c>
      <c r="L96" s="231">
        <f t="shared" si="5"/>
        <v>0</v>
      </c>
      <c r="M96" s="234">
        <f t="shared" si="6"/>
        <v>0</v>
      </c>
      <c r="O96" s="239">
        <f>SUMIF(T198_TB!$F:$F,CFS!H96,T198_TB!$L:$L)</f>
        <v>0</v>
      </c>
      <c r="P96" s="236">
        <f t="shared" si="7"/>
        <v>0</v>
      </c>
      <c r="Q96" s="232"/>
    </row>
    <row r="97" spans="4:17" ht="18" customHeight="1">
      <c r="D97" s="233">
        <v>2020</v>
      </c>
      <c r="E97" s="231">
        <v>12</v>
      </c>
      <c r="F97" s="231" t="s">
        <v>633</v>
      </c>
      <c r="G97" s="231" t="s">
        <v>865</v>
      </c>
      <c r="H97" s="231" t="s">
        <v>866</v>
      </c>
      <c r="I97" s="231">
        <v>3</v>
      </c>
      <c r="J97" s="231" t="s">
        <v>474</v>
      </c>
      <c r="K97" s="231">
        <f>SUMIF('CF.1'!$D:$D,CFS!G97,'CF.1'!$T:$T)</f>
        <v>0</v>
      </c>
      <c r="L97" s="231">
        <f t="shared" si="5"/>
        <v>0</v>
      </c>
      <c r="M97" s="234">
        <f t="shared" si="6"/>
        <v>0</v>
      </c>
      <c r="O97" s="239">
        <f>SUMIF(T198_TB!$F:$F,CFS!H97,T198_TB!$L:$L)</f>
        <v>0</v>
      </c>
      <c r="P97" s="236">
        <f t="shared" si="7"/>
        <v>0</v>
      </c>
      <c r="Q97" s="232"/>
    </row>
    <row r="98" spans="4:17" ht="18" customHeight="1">
      <c r="D98" s="233">
        <v>2020</v>
      </c>
      <c r="E98" s="231">
        <v>12</v>
      </c>
      <c r="F98" s="231" t="s">
        <v>633</v>
      </c>
      <c r="G98" s="231" t="s">
        <v>867</v>
      </c>
      <c r="H98" s="231" t="s">
        <v>868</v>
      </c>
      <c r="I98" s="231">
        <v>3</v>
      </c>
      <c r="J98" s="231" t="s">
        <v>474</v>
      </c>
      <c r="K98" s="231">
        <f>SUMIF('CF.1'!$D:$D,CFS!G98,'CF.1'!$T:$T)</f>
        <v>0</v>
      </c>
      <c r="L98" s="231">
        <f t="shared" si="5"/>
        <v>0</v>
      </c>
      <c r="M98" s="234">
        <f t="shared" si="6"/>
        <v>0</v>
      </c>
      <c r="O98" s="239">
        <f>SUMIF(T198_TB!$F:$F,CFS!H98,T198_TB!$L:$L)</f>
        <v>0</v>
      </c>
      <c r="P98" s="236">
        <f t="shared" si="7"/>
        <v>0</v>
      </c>
      <c r="Q98" s="232"/>
    </row>
    <row r="99" spans="4:17" ht="18" customHeight="1">
      <c r="D99" s="233">
        <v>2020</v>
      </c>
      <c r="E99" s="231">
        <v>12</v>
      </c>
      <c r="F99" s="231" t="s">
        <v>633</v>
      </c>
      <c r="G99" s="231" t="s">
        <v>869</v>
      </c>
      <c r="H99" s="231" t="s">
        <v>870</v>
      </c>
      <c r="I99" s="231">
        <v>3</v>
      </c>
      <c r="J99" s="231" t="s">
        <v>474</v>
      </c>
      <c r="K99" s="231">
        <f>SUMIF('CF.1'!$D:$D,CFS!G99,'CF.1'!$T:$T)</f>
        <v>0</v>
      </c>
      <c r="L99" s="231">
        <f t="shared" si="5"/>
        <v>0</v>
      </c>
      <c r="M99" s="234">
        <f t="shared" si="6"/>
        <v>0</v>
      </c>
      <c r="O99" s="239">
        <f>SUMIF(T198_TB!$F:$F,CFS!H99,T198_TB!$L:$L)</f>
        <v>0</v>
      </c>
      <c r="P99" s="236">
        <f t="shared" si="7"/>
        <v>0</v>
      </c>
      <c r="Q99" s="232"/>
    </row>
    <row r="100" spans="4:17" ht="18" customHeight="1">
      <c r="D100" s="233">
        <v>2020</v>
      </c>
      <c r="E100" s="231">
        <v>12</v>
      </c>
      <c r="F100" s="231" t="s">
        <v>633</v>
      </c>
      <c r="G100" s="231" t="s">
        <v>871</v>
      </c>
      <c r="H100" s="231" t="s">
        <v>872</v>
      </c>
      <c r="I100" s="231">
        <v>3</v>
      </c>
      <c r="J100" s="231" t="s">
        <v>474</v>
      </c>
      <c r="K100" s="231">
        <f>SUMIF('CF.1'!$D:$D,CFS!G100,'CF.1'!$T:$T)</f>
        <v>0</v>
      </c>
      <c r="L100" s="231">
        <f t="shared" si="5"/>
        <v>0</v>
      </c>
      <c r="M100" s="234">
        <f t="shared" si="6"/>
        <v>0</v>
      </c>
      <c r="O100" s="239">
        <f>SUMIF(T198_TB!$F:$F,CFS!H100,T198_TB!$L:$L)</f>
        <v>0</v>
      </c>
      <c r="P100" s="236">
        <f t="shared" si="7"/>
        <v>0</v>
      </c>
      <c r="Q100" s="232"/>
    </row>
    <row r="101" spans="4:17" ht="18" customHeight="1">
      <c r="D101" s="233">
        <v>2020</v>
      </c>
      <c r="E101" s="231">
        <v>12</v>
      </c>
      <c r="F101" s="231" t="s">
        <v>633</v>
      </c>
      <c r="G101" s="231" t="s">
        <v>873</v>
      </c>
      <c r="H101" s="231" t="s">
        <v>874</v>
      </c>
      <c r="I101" s="231">
        <v>3</v>
      </c>
      <c r="J101" s="231" t="s">
        <v>474</v>
      </c>
      <c r="K101" s="231">
        <f>SUMIF('CF.1'!$D:$D,CFS!G101,'CF.1'!$T:$T)</f>
        <v>0</v>
      </c>
      <c r="L101" s="231">
        <f t="shared" si="5"/>
        <v>0</v>
      </c>
      <c r="M101" s="234">
        <f t="shared" si="6"/>
        <v>0</v>
      </c>
      <c r="O101" s="239">
        <f>SUMIF(T198_TB!$F:$F,CFS!H101,T198_TB!$L:$L)</f>
        <v>0</v>
      </c>
      <c r="P101" s="236">
        <f t="shared" si="7"/>
        <v>0</v>
      </c>
      <c r="Q101" s="232"/>
    </row>
    <row r="102" spans="4:17" ht="18" customHeight="1">
      <c r="D102" s="233">
        <v>2020</v>
      </c>
      <c r="E102" s="231">
        <v>12</v>
      </c>
      <c r="F102" s="231" t="s">
        <v>633</v>
      </c>
      <c r="G102" s="231" t="s">
        <v>875</v>
      </c>
      <c r="H102" s="231" t="s">
        <v>674</v>
      </c>
      <c r="I102" s="231">
        <v>3</v>
      </c>
      <c r="J102" s="231" t="s">
        <v>474</v>
      </c>
      <c r="K102" s="231">
        <f>SUMIF('CF.1'!$D:$D,CFS!G102,'CF.1'!$T:$T)</f>
        <v>-595479755</v>
      </c>
      <c r="L102" s="231">
        <f t="shared" si="5"/>
        <v>-595479755</v>
      </c>
      <c r="M102" s="234">
        <f t="shared" si="6"/>
        <v>0</v>
      </c>
      <c r="O102" s="239">
        <f>SUMIF(T198_TB!$F:$F,CFS!H102,T198_TB!$L:$L)</f>
        <v>-595479755</v>
      </c>
      <c r="P102" s="236">
        <f t="shared" si="7"/>
        <v>0</v>
      </c>
      <c r="Q102" s="232"/>
    </row>
    <row r="103" spans="4:17" ht="18" customHeight="1">
      <c r="D103" s="233">
        <v>2020</v>
      </c>
      <c r="E103" s="231">
        <v>12</v>
      </c>
      <c r="F103" s="231" t="s">
        <v>633</v>
      </c>
      <c r="G103" s="231" t="s">
        <v>1553</v>
      </c>
      <c r="H103" s="231" t="s">
        <v>1554</v>
      </c>
      <c r="I103" s="231">
        <v>3</v>
      </c>
      <c r="J103" s="231" t="s">
        <v>474</v>
      </c>
      <c r="K103" s="231">
        <f>SUMIF('CF.1'!$D:$D,CFS!G103,'CF.1'!$T:$T)</f>
        <v>0</v>
      </c>
      <c r="L103" s="231">
        <f t="shared" si="5"/>
        <v>0</v>
      </c>
      <c r="M103" s="234">
        <f t="shared" si="6"/>
        <v>0</v>
      </c>
      <c r="O103" s="239">
        <f>SUMIF(T198_TB!$F:$F,CFS!H103,T198_TB!$L:$L)</f>
        <v>0</v>
      </c>
      <c r="P103" s="236">
        <f t="shared" si="7"/>
        <v>0</v>
      </c>
      <c r="Q103" s="232"/>
    </row>
    <row r="104" spans="4:17" ht="18" customHeight="1">
      <c r="D104" s="233">
        <v>2020</v>
      </c>
      <c r="E104" s="231">
        <v>12</v>
      </c>
      <c r="F104" s="231" t="s">
        <v>633</v>
      </c>
      <c r="G104" s="231" t="s">
        <v>1555</v>
      </c>
      <c r="H104" s="231" t="s">
        <v>879</v>
      </c>
      <c r="I104" s="231">
        <v>3</v>
      </c>
      <c r="J104" s="231" t="s">
        <v>474</v>
      </c>
      <c r="K104" s="231">
        <f>SUMIF('CF.1'!$D:$D,CFS!G104,'CF.1'!$T:$T)</f>
        <v>0</v>
      </c>
      <c r="L104" s="231">
        <f t="shared" si="5"/>
        <v>0</v>
      </c>
      <c r="M104" s="234">
        <f t="shared" si="6"/>
        <v>0</v>
      </c>
      <c r="O104" s="239">
        <f>SUMIF(T198_TB!$F:$F,CFS!H104,T198_TB!$L:$L)</f>
        <v>0</v>
      </c>
      <c r="P104" s="236">
        <f t="shared" si="7"/>
        <v>0</v>
      </c>
      <c r="Q104" s="232"/>
    </row>
    <row r="105" spans="4:17" ht="18" customHeight="1">
      <c r="D105" s="233">
        <v>2020</v>
      </c>
      <c r="E105" s="231">
        <v>12</v>
      </c>
      <c r="F105" s="231" t="s">
        <v>633</v>
      </c>
      <c r="G105" s="231" t="s">
        <v>902</v>
      </c>
      <c r="H105" s="231" t="s">
        <v>1556</v>
      </c>
      <c r="I105" s="231">
        <v>3</v>
      </c>
      <c r="J105" s="231" t="s">
        <v>474</v>
      </c>
      <c r="K105" s="231">
        <f>SUMIF('CF.1'!$D:$D,CFS!G105,'CF.1'!$T:$T)</f>
        <v>-26552040</v>
      </c>
      <c r="L105" s="231">
        <f t="shared" si="5"/>
        <v>-26552040</v>
      </c>
      <c r="M105" s="234">
        <f t="shared" si="6"/>
        <v>0</v>
      </c>
      <c r="O105" s="239">
        <f>SUMIF(T198_TB!$F:$F,CFS!H105,T198_TB!$L:$L)</f>
        <v>0</v>
      </c>
      <c r="P105" s="236">
        <f t="shared" si="7"/>
        <v>26552040</v>
      </c>
      <c r="Q105" s="232" t="s">
        <v>2022</v>
      </c>
    </row>
    <row r="106" spans="4:17" ht="18" customHeight="1">
      <c r="D106" s="227">
        <v>2020</v>
      </c>
      <c r="E106" s="228">
        <v>12</v>
      </c>
      <c r="F106" s="228" t="s">
        <v>633</v>
      </c>
      <c r="G106" s="228" t="s">
        <v>904</v>
      </c>
      <c r="H106" s="228" t="s">
        <v>1557</v>
      </c>
      <c r="I106" s="228">
        <v>2</v>
      </c>
      <c r="J106" s="228" t="s">
        <v>474</v>
      </c>
      <c r="K106" s="228">
        <f>SUM(K107:K145)</f>
        <v>16323393062</v>
      </c>
      <c r="L106" s="228">
        <f>SUM(L107:L145)</f>
        <v>16323393062</v>
      </c>
      <c r="M106" s="229">
        <f>SUM(M107:M144)</f>
        <v>0</v>
      </c>
      <c r="O106" s="230"/>
      <c r="P106" s="231"/>
      <c r="Q106" s="232"/>
    </row>
    <row r="107" spans="4:17" ht="18" customHeight="1">
      <c r="D107" s="233">
        <v>2020</v>
      </c>
      <c r="E107" s="231">
        <v>12</v>
      </c>
      <c r="F107" s="231" t="s">
        <v>633</v>
      </c>
      <c r="G107" s="231" t="s">
        <v>906</v>
      </c>
      <c r="H107" s="231" t="s">
        <v>907</v>
      </c>
      <c r="I107" s="231">
        <v>3</v>
      </c>
      <c r="J107" s="231" t="s">
        <v>474</v>
      </c>
      <c r="K107" s="231">
        <f>SUMIF('CF.1'!$D:$D,CFS!G107,'CF.1'!$T:$T)</f>
        <v>4621956912</v>
      </c>
      <c r="L107" s="231">
        <f t="shared" ref="L107:L121" si="8">K107</f>
        <v>4621956912</v>
      </c>
      <c r="M107" s="234">
        <f t="shared" ref="M107:M144" si="9">L107-K107</f>
        <v>0</v>
      </c>
      <c r="O107" s="230"/>
      <c r="P107" s="231"/>
      <c r="Q107" s="232"/>
    </row>
    <row r="108" spans="4:17" ht="18" customHeight="1">
      <c r="D108" s="233">
        <v>2020</v>
      </c>
      <c r="E108" s="231">
        <v>12</v>
      </c>
      <c r="F108" s="231" t="s">
        <v>633</v>
      </c>
      <c r="G108" s="231" t="s">
        <v>908</v>
      </c>
      <c r="H108" s="231" t="s">
        <v>909</v>
      </c>
      <c r="I108" s="231">
        <v>3</v>
      </c>
      <c r="J108" s="231" t="s">
        <v>474</v>
      </c>
      <c r="K108" s="231">
        <f>SUMIF('CF.1'!$D:$D,CFS!G108,'CF.1'!$T:$T)</f>
        <v>-12449528669</v>
      </c>
      <c r="L108" s="231">
        <f t="shared" si="8"/>
        <v>-12449528669</v>
      </c>
      <c r="M108" s="234">
        <f t="shared" si="9"/>
        <v>0</v>
      </c>
      <c r="O108" s="230"/>
      <c r="P108" s="231"/>
      <c r="Q108" s="232"/>
    </row>
    <row r="109" spans="4:17" ht="18" customHeight="1">
      <c r="D109" s="233">
        <v>2020</v>
      </c>
      <c r="E109" s="231">
        <v>12</v>
      </c>
      <c r="F109" s="231" t="s">
        <v>633</v>
      </c>
      <c r="G109" s="231" t="s">
        <v>910</v>
      </c>
      <c r="H109" s="231" t="s">
        <v>911</v>
      </c>
      <c r="I109" s="231">
        <v>3</v>
      </c>
      <c r="J109" s="231" t="s">
        <v>474</v>
      </c>
      <c r="K109" s="231">
        <f>SUMIF('CF.1'!$D:$D,CFS!G109,'CF.1'!$T:$T)</f>
        <v>8168783</v>
      </c>
      <c r="L109" s="231">
        <f t="shared" si="8"/>
        <v>8168783</v>
      </c>
      <c r="M109" s="234">
        <f t="shared" si="9"/>
        <v>0</v>
      </c>
      <c r="O109" s="230"/>
      <c r="P109" s="231"/>
      <c r="Q109" s="232"/>
    </row>
    <row r="110" spans="4:17" ht="18" customHeight="1">
      <c r="D110" s="233">
        <v>2020</v>
      </c>
      <c r="E110" s="231">
        <v>12</v>
      </c>
      <c r="F110" s="231" t="s">
        <v>633</v>
      </c>
      <c r="G110" s="231" t="s">
        <v>912</v>
      </c>
      <c r="H110" s="231" t="s">
        <v>913</v>
      </c>
      <c r="I110" s="231">
        <v>3</v>
      </c>
      <c r="J110" s="231" t="s">
        <v>474</v>
      </c>
      <c r="K110" s="231">
        <f>SUMIF('CF.1'!$D:$D,CFS!G110,'CF.1'!$T:$T)</f>
        <v>-412084422</v>
      </c>
      <c r="L110" s="231">
        <f t="shared" si="8"/>
        <v>-412084422</v>
      </c>
      <c r="M110" s="234">
        <f t="shared" si="9"/>
        <v>0</v>
      </c>
      <c r="O110" s="230"/>
      <c r="P110" s="231"/>
      <c r="Q110" s="232"/>
    </row>
    <row r="111" spans="4:17" ht="18" customHeight="1">
      <c r="D111" s="233">
        <v>2020</v>
      </c>
      <c r="E111" s="231">
        <v>12</v>
      </c>
      <c r="F111" s="231" t="s">
        <v>633</v>
      </c>
      <c r="G111" s="231" t="s">
        <v>914</v>
      </c>
      <c r="H111" s="231" t="s">
        <v>915</v>
      </c>
      <c r="I111" s="231">
        <v>3</v>
      </c>
      <c r="J111" s="231" t="s">
        <v>474</v>
      </c>
      <c r="K111" s="231">
        <f>SUMIF('CF.1'!$D:$D,CFS!G111,'CF.1'!$T:$T)</f>
        <v>0</v>
      </c>
      <c r="L111" s="231">
        <f t="shared" si="8"/>
        <v>0</v>
      </c>
      <c r="M111" s="234">
        <f t="shared" si="9"/>
        <v>0</v>
      </c>
      <c r="O111" s="230"/>
      <c r="P111" s="231"/>
      <c r="Q111" s="232"/>
    </row>
    <row r="112" spans="4:17" ht="18" customHeight="1">
      <c r="D112" s="233">
        <v>2020</v>
      </c>
      <c r="E112" s="231">
        <v>12</v>
      </c>
      <c r="F112" s="231" t="s">
        <v>633</v>
      </c>
      <c r="G112" s="231" t="s">
        <v>916</v>
      </c>
      <c r="H112" s="231" t="s">
        <v>917</v>
      </c>
      <c r="I112" s="231">
        <v>3</v>
      </c>
      <c r="J112" s="231" t="s">
        <v>474</v>
      </c>
      <c r="K112" s="231">
        <f>SUMIF('CF.1'!$D:$D,CFS!G112,'CF.1'!$T:$T)</f>
        <v>-162256234</v>
      </c>
      <c r="L112" s="231">
        <f t="shared" si="8"/>
        <v>-162256234</v>
      </c>
      <c r="M112" s="234">
        <f t="shared" si="9"/>
        <v>0</v>
      </c>
      <c r="O112" s="230"/>
      <c r="P112" s="231"/>
      <c r="Q112" s="232"/>
    </row>
    <row r="113" spans="4:17" ht="18" customHeight="1">
      <c r="D113" s="233">
        <v>2020</v>
      </c>
      <c r="E113" s="231">
        <v>12</v>
      </c>
      <c r="F113" s="231" t="s">
        <v>633</v>
      </c>
      <c r="G113" s="231" t="s">
        <v>918</v>
      </c>
      <c r="H113" s="231" t="s">
        <v>919</v>
      </c>
      <c r="I113" s="231">
        <v>3</v>
      </c>
      <c r="J113" s="231" t="s">
        <v>474</v>
      </c>
      <c r="K113" s="231">
        <f>SUMIF('CF.1'!$D:$D,CFS!G113,'CF.1'!$T:$T)</f>
        <v>0</v>
      </c>
      <c r="L113" s="231">
        <f t="shared" si="8"/>
        <v>0</v>
      </c>
      <c r="M113" s="234">
        <f t="shared" si="9"/>
        <v>0</v>
      </c>
      <c r="O113" s="230"/>
      <c r="P113" s="231"/>
      <c r="Q113" s="232"/>
    </row>
    <row r="114" spans="4:17" ht="18" customHeight="1">
      <c r="D114" s="233">
        <v>2020</v>
      </c>
      <c r="E114" s="231">
        <v>12</v>
      </c>
      <c r="F114" s="231" t="s">
        <v>633</v>
      </c>
      <c r="G114" s="231" t="s">
        <v>922</v>
      </c>
      <c r="H114" s="231" t="s">
        <v>923</v>
      </c>
      <c r="I114" s="231">
        <v>3</v>
      </c>
      <c r="J114" s="231" t="s">
        <v>474</v>
      </c>
      <c r="K114" s="231">
        <f>SUMIF('CF.1'!$D:$D,CFS!G114,'CF.1'!$T:$T)</f>
        <v>-113203053</v>
      </c>
      <c r="L114" s="231">
        <f t="shared" si="8"/>
        <v>-113203053</v>
      </c>
      <c r="M114" s="234">
        <f t="shared" si="9"/>
        <v>0</v>
      </c>
      <c r="O114" s="230"/>
      <c r="P114" s="231"/>
      <c r="Q114" s="232"/>
    </row>
    <row r="115" spans="4:17" ht="18" customHeight="1">
      <c r="D115" s="233">
        <v>2020</v>
      </c>
      <c r="E115" s="231">
        <v>12</v>
      </c>
      <c r="F115" s="231" t="s">
        <v>633</v>
      </c>
      <c r="G115" s="231" t="s">
        <v>924</v>
      </c>
      <c r="H115" s="231" t="s">
        <v>925</v>
      </c>
      <c r="I115" s="231">
        <v>3</v>
      </c>
      <c r="J115" s="231" t="s">
        <v>474</v>
      </c>
      <c r="K115" s="231">
        <f>SUMIF('CF.1'!$D:$D,CFS!G115,'CF.1'!$T:$T)</f>
        <v>3609608055</v>
      </c>
      <c r="L115" s="231">
        <f t="shared" si="8"/>
        <v>3609608055</v>
      </c>
      <c r="M115" s="234">
        <f t="shared" si="9"/>
        <v>0</v>
      </c>
      <c r="O115" s="230"/>
      <c r="P115" s="231"/>
      <c r="Q115" s="232"/>
    </row>
    <row r="116" spans="4:17" ht="18" customHeight="1">
      <c r="D116" s="233">
        <v>2020</v>
      </c>
      <c r="E116" s="231">
        <v>12</v>
      </c>
      <c r="F116" s="231" t="s">
        <v>633</v>
      </c>
      <c r="G116" s="231" t="s">
        <v>926</v>
      </c>
      <c r="H116" s="231" t="s">
        <v>927</v>
      </c>
      <c r="I116" s="231">
        <v>3</v>
      </c>
      <c r="J116" s="231" t="s">
        <v>474</v>
      </c>
      <c r="K116" s="231">
        <f>SUMIF('CF.1'!$D:$D,CFS!G116,'CF.1'!$T:$T)</f>
        <v>0</v>
      </c>
      <c r="L116" s="231">
        <f t="shared" si="8"/>
        <v>0</v>
      </c>
      <c r="M116" s="234">
        <f t="shared" si="9"/>
        <v>0</v>
      </c>
      <c r="O116" s="230"/>
      <c r="P116" s="231"/>
      <c r="Q116" s="232"/>
    </row>
    <row r="117" spans="4:17" ht="18" customHeight="1">
      <c r="D117" s="233">
        <v>2020</v>
      </c>
      <c r="E117" s="231">
        <v>12</v>
      </c>
      <c r="F117" s="231" t="s">
        <v>633</v>
      </c>
      <c r="G117" s="231" t="s">
        <v>934</v>
      </c>
      <c r="H117" s="231" t="s">
        <v>935</v>
      </c>
      <c r="I117" s="231">
        <v>3</v>
      </c>
      <c r="J117" s="231" t="s">
        <v>474</v>
      </c>
      <c r="K117" s="231">
        <f>SUMIF('CF.1'!$D:$D,CFS!G117,'CF.1'!$T:$T)</f>
        <v>0</v>
      </c>
      <c r="L117" s="231">
        <f t="shared" si="8"/>
        <v>0</v>
      </c>
      <c r="M117" s="234">
        <f t="shared" si="9"/>
        <v>0</v>
      </c>
      <c r="O117" s="230"/>
      <c r="P117" s="231"/>
      <c r="Q117" s="232"/>
    </row>
    <row r="118" spans="4:17" ht="18" customHeight="1">
      <c r="D118" s="233">
        <v>2020</v>
      </c>
      <c r="E118" s="231">
        <v>12</v>
      </c>
      <c r="F118" s="231" t="s">
        <v>633</v>
      </c>
      <c r="G118" s="231" t="s">
        <v>936</v>
      </c>
      <c r="H118" s="231" t="s">
        <v>937</v>
      </c>
      <c r="I118" s="231">
        <v>3</v>
      </c>
      <c r="J118" s="231" t="s">
        <v>474</v>
      </c>
      <c r="K118" s="231">
        <f>SUMIF('CF.1'!$D:$D,CFS!G118,'CF.1'!$T:$T)</f>
        <v>0</v>
      </c>
      <c r="L118" s="231">
        <f t="shared" si="8"/>
        <v>0</v>
      </c>
      <c r="M118" s="234">
        <f t="shared" si="9"/>
        <v>0</v>
      </c>
      <c r="O118" s="230"/>
      <c r="P118" s="231"/>
      <c r="Q118" s="232"/>
    </row>
    <row r="119" spans="4:17" ht="18" customHeight="1">
      <c r="D119" s="233">
        <v>2020</v>
      </c>
      <c r="E119" s="231">
        <v>12</v>
      </c>
      <c r="F119" s="231" t="s">
        <v>633</v>
      </c>
      <c r="G119" s="231" t="s">
        <v>938</v>
      </c>
      <c r="H119" s="231" t="s">
        <v>939</v>
      </c>
      <c r="I119" s="231">
        <v>3</v>
      </c>
      <c r="J119" s="231" t="s">
        <v>474</v>
      </c>
      <c r="K119" s="231">
        <f>SUMIF('CF.1'!$D:$D,CFS!G119,'CF.1'!$T:$T)</f>
        <v>0</v>
      </c>
      <c r="L119" s="231">
        <f t="shared" si="8"/>
        <v>0</v>
      </c>
      <c r="M119" s="234">
        <f t="shared" si="9"/>
        <v>0</v>
      </c>
      <c r="O119" s="230"/>
      <c r="P119" s="231"/>
      <c r="Q119" s="232"/>
    </row>
    <row r="120" spans="4:17" ht="18" customHeight="1">
      <c r="D120" s="233">
        <v>2020</v>
      </c>
      <c r="E120" s="231">
        <v>12</v>
      </c>
      <c r="F120" s="231" t="s">
        <v>633</v>
      </c>
      <c r="G120" s="231" t="s">
        <v>940</v>
      </c>
      <c r="H120" s="231" t="s">
        <v>941</v>
      </c>
      <c r="I120" s="231">
        <v>3</v>
      </c>
      <c r="J120" s="231" t="s">
        <v>474</v>
      </c>
      <c r="K120" s="231">
        <f>SUMIF('CF.1'!$D:$D,CFS!G120,'CF.1'!$T:$T)</f>
        <v>0</v>
      </c>
      <c r="L120" s="231">
        <f t="shared" si="8"/>
        <v>0</v>
      </c>
      <c r="M120" s="234">
        <f t="shared" si="9"/>
        <v>0</v>
      </c>
      <c r="O120" s="230"/>
      <c r="P120" s="231"/>
      <c r="Q120" s="232"/>
    </row>
    <row r="121" spans="4:17" ht="18" customHeight="1">
      <c r="D121" s="233">
        <v>2020</v>
      </c>
      <c r="E121" s="231">
        <v>12</v>
      </c>
      <c r="F121" s="231" t="s">
        <v>633</v>
      </c>
      <c r="G121" s="231" t="s">
        <v>942</v>
      </c>
      <c r="H121" s="231" t="s">
        <v>943</v>
      </c>
      <c r="I121" s="231">
        <v>3</v>
      </c>
      <c r="J121" s="231" t="s">
        <v>474</v>
      </c>
      <c r="K121" s="231">
        <f>SUMIF('CF.1'!$D:$D,CFS!G121,'CF.1'!$T:$T)</f>
        <v>5338055248</v>
      </c>
      <c r="L121" s="231">
        <f t="shared" si="8"/>
        <v>5338055248</v>
      </c>
      <c r="M121" s="234">
        <f t="shared" si="9"/>
        <v>0</v>
      </c>
      <c r="O121" s="230"/>
      <c r="P121" s="231"/>
      <c r="Q121" s="232"/>
    </row>
    <row r="122" spans="4:17" ht="18" customHeight="1">
      <c r="D122" s="241">
        <v>2020</v>
      </c>
      <c r="E122" s="242">
        <v>12</v>
      </c>
      <c r="F122" s="242" t="s">
        <v>633</v>
      </c>
      <c r="G122" s="242" t="s">
        <v>944</v>
      </c>
      <c r="H122" s="242" t="s">
        <v>945</v>
      </c>
      <c r="I122" s="231">
        <v>3</v>
      </c>
      <c r="J122" s="242" t="s">
        <v>474</v>
      </c>
      <c r="K122" s="242">
        <f>SUMIF('CF.1'!$D:$D,CFS!G122,'CF.1'!$T:$T)</f>
        <v>0</v>
      </c>
      <c r="L122" s="242">
        <v>0</v>
      </c>
      <c r="M122" s="243">
        <f t="shared" si="9"/>
        <v>0</v>
      </c>
      <c r="O122" s="230"/>
      <c r="P122" s="231"/>
      <c r="Q122" s="232" t="s">
        <v>1794</v>
      </c>
    </row>
    <row r="123" spans="4:17" ht="18" customHeight="1">
      <c r="D123" s="233">
        <v>2020</v>
      </c>
      <c r="E123" s="231">
        <v>12</v>
      </c>
      <c r="F123" s="231" t="s">
        <v>633</v>
      </c>
      <c r="G123" s="231" t="s">
        <v>946</v>
      </c>
      <c r="H123" s="231" t="s">
        <v>947</v>
      </c>
      <c r="I123" s="231">
        <v>3</v>
      </c>
      <c r="J123" s="231" t="s">
        <v>474</v>
      </c>
      <c r="K123" s="231">
        <f>SUMIF('CF.1'!$D:$D,CFS!G123,'CF.1'!$T:$T)</f>
        <v>-4025464110</v>
      </c>
      <c r="L123" s="231">
        <f>K123</f>
        <v>-4025464110</v>
      </c>
      <c r="M123" s="234">
        <f t="shared" si="9"/>
        <v>0</v>
      </c>
      <c r="O123" s="230"/>
      <c r="P123" s="231"/>
      <c r="Q123" s="232"/>
    </row>
    <row r="124" spans="4:17" ht="18" customHeight="1">
      <c r="D124" s="241">
        <v>2020</v>
      </c>
      <c r="E124" s="242">
        <v>12</v>
      </c>
      <c r="F124" s="242" t="s">
        <v>633</v>
      </c>
      <c r="G124" s="242" t="s">
        <v>948</v>
      </c>
      <c r="H124" s="242" t="s">
        <v>949</v>
      </c>
      <c r="I124" s="231">
        <v>3</v>
      </c>
      <c r="J124" s="242" t="s">
        <v>474</v>
      </c>
      <c r="K124" s="242">
        <f>SUMIF('CF.1'!$D:$D,CFS!G124,'CF.1'!$T:$T)</f>
        <v>0</v>
      </c>
      <c r="L124" s="242">
        <v>0</v>
      </c>
      <c r="M124" s="243">
        <f t="shared" si="9"/>
        <v>0</v>
      </c>
      <c r="O124" s="230"/>
      <c r="P124" s="231"/>
      <c r="Q124" s="232" t="s">
        <v>1794</v>
      </c>
    </row>
    <row r="125" spans="4:17" ht="18" customHeight="1">
      <c r="D125" s="233">
        <v>2020</v>
      </c>
      <c r="E125" s="231">
        <v>12</v>
      </c>
      <c r="F125" s="231" t="s">
        <v>633</v>
      </c>
      <c r="G125" s="231" t="s">
        <v>950</v>
      </c>
      <c r="H125" s="231" t="s">
        <v>951</v>
      </c>
      <c r="I125" s="231">
        <v>3</v>
      </c>
      <c r="J125" s="231" t="s">
        <v>474</v>
      </c>
      <c r="K125" s="231">
        <f>SUMIF('CF.1'!$D:$D,CFS!G125,'CF.1'!$T:$T)</f>
        <v>19943942305</v>
      </c>
      <c r="L125" s="231">
        <f t="shared" ref="L125:L145" si="10">K125</f>
        <v>19943942305</v>
      </c>
      <c r="M125" s="234">
        <f t="shared" si="9"/>
        <v>0</v>
      </c>
      <c r="O125" s="230"/>
      <c r="P125" s="231"/>
      <c r="Q125" s="232"/>
    </row>
    <row r="126" spans="4:17" ht="18" customHeight="1">
      <c r="D126" s="233">
        <v>2020</v>
      </c>
      <c r="E126" s="231">
        <v>12</v>
      </c>
      <c r="F126" s="231" t="s">
        <v>633</v>
      </c>
      <c r="G126" s="231" t="s">
        <v>952</v>
      </c>
      <c r="H126" s="231" t="s">
        <v>953</v>
      </c>
      <c r="I126" s="231">
        <v>3</v>
      </c>
      <c r="J126" s="231" t="s">
        <v>474</v>
      </c>
      <c r="K126" s="231">
        <f>SUMIF('CF.1'!$D:$D,CFS!G126,'CF.1'!$T:$T)</f>
        <v>-598387165</v>
      </c>
      <c r="L126" s="231">
        <f t="shared" si="10"/>
        <v>-598387165</v>
      </c>
      <c r="M126" s="234">
        <f t="shared" si="9"/>
        <v>0</v>
      </c>
      <c r="O126" s="230"/>
      <c r="P126" s="231"/>
      <c r="Q126" s="232"/>
    </row>
    <row r="127" spans="4:17" ht="18" customHeight="1">
      <c r="D127" s="233">
        <v>2020</v>
      </c>
      <c r="E127" s="231">
        <v>12</v>
      </c>
      <c r="F127" s="231" t="s">
        <v>633</v>
      </c>
      <c r="G127" s="231" t="s">
        <v>954</v>
      </c>
      <c r="H127" s="231" t="s">
        <v>955</v>
      </c>
      <c r="I127" s="231">
        <v>3</v>
      </c>
      <c r="J127" s="231" t="s">
        <v>474</v>
      </c>
      <c r="K127" s="231">
        <f>SUMIF('CF.1'!$D:$D,CFS!G127,'CF.1'!$T:$T)</f>
        <v>1107632379</v>
      </c>
      <c r="L127" s="231">
        <f t="shared" si="10"/>
        <v>1107632379</v>
      </c>
      <c r="M127" s="234">
        <f t="shared" si="9"/>
        <v>0</v>
      </c>
      <c r="O127" s="230"/>
      <c r="P127" s="231"/>
      <c r="Q127" s="232"/>
    </row>
    <row r="128" spans="4:17" ht="18" customHeight="1">
      <c r="D128" s="233">
        <v>2020</v>
      </c>
      <c r="E128" s="231">
        <v>12</v>
      </c>
      <c r="F128" s="231" t="s">
        <v>633</v>
      </c>
      <c r="G128" s="231" t="s">
        <v>958</v>
      </c>
      <c r="H128" s="231" t="s">
        <v>959</v>
      </c>
      <c r="I128" s="231">
        <v>3</v>
      </c>
      <c r="J128" s="231" t="s">
        <v>474</v>
      </c>
      <c r="K128" s="231">
        <f>SUMIF('CF.1'!$D:$D,CFS!G128,'CF.1'!$T:$T)</f>
        <v>0</v>
      </c>
      <c r="L128" s="231">
        <f t="shared" si="10"/>
        <v>0</v>
      </c>
      <c r="M128" s="234">
        <f t="shared" si="9"/>
        <v>0</v>
      </c>
      <c r="O128" s="230"/>
      <c r="P128" s="231"/>
      <c r="Q128" s="232"/>
    </row>
    <row r="129" spans="4:17" ht="18" customHeight="1">
      <c r="D129" s="233">
        <v>2020</v>
      </c>
      <c r="E129" s="231">
        <v>12</v>
      </c>
      <c r="F129" s="231" t="s">
        <v>633</v>
      </c>
      <c r="G129" s="231" t="s">
        <v>960</v>
      </c>
      <c r="H129" s="231" t="s">
        <v>961</v>
      </c>
      <c r="I129" s="231">
        <v>3</v>
      </c>
      <c r="J129" s="231" t="s">
        <v>474</v>
      </c>
      <c r="K129" s="231">
        <f>SUMIF('CF.1'!$D:$D,CFS!G129,'CF.1'!$T:$T)</f>
        <v>0</v>
      </c>
      <c r="L129" s="231">
        <f t="shared" si="10"/>
        <v>0</v>
      </c>
      <c r="M129" s="234">
        <f t="shared" si="9"/>
        <v>0</v>
      </c>
      <c r="O129" s="230"/>
      <c r="P129" s="231"/>
      <c r="Q129" s="232"/>
    </row>
    <row r="130" spans="4:17" ht="18" customHeight="1">
      <c r="D130" s="233">
        <v>2020</v>
      </c>
      <c r="E130" s="231">
        <v>12</v>
      </c>
      <c r="F130" s="231" t="s">
        <v>633</v>
      </c>
      <c r="G130" s="231" t="s">
        <v>962</v>
      </c>
      <c r="H130" s="231" t="s">
        <v>963</v>
      </c>
      <c r="I130" s="231">
        <v>3</v>
      </c>
      <c r="J130" s="231" t="s">
        <v>474</v>
      </c>
      <c r="K130" s="231">
        <f>SUMIF('CF.1'!$D:$D,CFS!G130,'CF.1'!$T:$T)</f>
        <v>0</v>
      </c>
      <c r="L130" s="231">
        <f t="shared" si="10"/>
        <v>0</v>
      </c>
      <c r="M130" s="234">
        <f t="shared" si="9"/>
        <v>0</v>
      </c>
      <c r="O130" s="230"/>
      <c r="P130" s="231"/>
      <c r="Q130" s="232"/>
    </row>
    <row r="131" spans="4:17" ht="18" customHeight="1">
      <c r="D131" s="233">
        <v>2020</v>
      </c>
      <c r="E131" s="231">
        <v>12</v>
      </c>
      <c r="F131" s="231" t="s">
        <v>633</v>
      </c>
      <c r="G131" s="231" t="s">
        <v>964</v>
      </c>
      <c r="H131" s="231" t="s">
        <v>965</v>
      </c>
      <c r="I131" s="231">
        <v>3</v>
      </c>
      <c r="J131" s="231" t="s">
        <v>474</v>
      </c>
      <c r="K131" s="231">
        <f>SUMIF('CF.1'!$D:$D,CFS!G131,'CF.1'!$T:$T)</f>
        <v>0</v>
      </c>
      <c r="L131" s="231">
        <f t="shared" si="10"/>
        <v>0</v>
      </c>
      <c r="M131" s="234">
        <f t="shared" si="9"/>
        <v>0</v>
      </c>
      <c r="O131" s="230"/>
      <c r="P131" s="231"/>
      <c r="Q131" s="232"/>
    </row>
    <row r="132" spans="4:17" ht="18" customHeight="1">
      <c r="D132" s="233">
        <v>2020</v>
      </c>
      <c r="E132" s="231">
        <v>12</v>
      </c>
      <c r="F132" s="231" t="s">
        <v>633</v>
      </c>
      <c r="G132" s="231" t="s">
        <v>966</v>
      </c>
      <c r="H132" s="231" t="s">
        <v>967</v>
      </c>
      <c r="I132" s="231">
        <v>3</v>
      </c>
      <c r="J132" s="231" t="s">
        <v>474</v>
      </c>
      <c r="K132" s="231">
        <f>SUMIF('CF.1'!$D:$D,CFS!G132,'CF.1'!$T:$T)</f>
        <v>-1530881163</v>
      </c>
      <c r="L132" s="231">
        <f t="shared" si="10"/>
        <v>-1530881163</v>
      </c>
      <c r="M132" s="234">
        <f t="shared" si="9"/>
        <v>0</v>
      </c>
      <c r="O132" s="230"/>
      <c r="P132" s="231"/>
      <c r="Q132" s="232"/>
    </row>
    <row r="133" spans="4:17" ht="18" customHeight="1">
      <c r="D133" s="233">
        <v>2020</v>
      </c>
      <c r="E133" s="231">
        <v>12</v>
      </c>
      <c r="F133" s="231" t="s">
        <v>633</v>
      </c>
      <c r="G133" s="231" t="s">
        <v>968</v>
      </c>
      <c r="H133" s="231" t="s">
        <v>969</v>
      </c>
      <c r="I133" s="231">
        <v>3</v>
      </c>
      <c r="J133" s="231" t="s">
        <v>474</v>
      </c>
      <c r="K133" s="231">
        <f>SUMIF('CF.1'!$D:$D,CFS!G133,'CF.1'!$T:$T)</f>
        <v>0</v>
      </c>
      <c r="L133" s="231">
        <f t="shared" si="10"/>
        <v>0</v>
      </c>
      <c r="M133" s="234">
        <f t="shared" si="9"/>
        <v>0</v>
      </c>
      <c r="O133" s="230"/>
      <c r="P133" s="231"/>
      <c r="Q133" s="232"/>
    </row>
    <row r="134" spans="4:17" ht="18" customHeight="1">
      <c r="D134" s="233">
        <v>2020</v>
      </c>
      <c r="E134" s="231">
        <v>12</v>
      </c>
      <c r="F134" s="231" t="s">
        <v>633</v>
      </c>
      <c r="G134" s="231" t="s">
        <v>970</v>
      </c>
      <c r="H134" s="231" t="s">
        <v>971</v>
      </c>
      <c r="I134" s="231">
        <v>3</v>
      </c>
      <c r="J134" s="231" t="s">
        <v>474</v>
      </c>
      <c r="K134" s="231">
        <f>SUMIF('CF.1'!$D:$D,CFS!G134,'CF.1'!$T:$T)</f>
        <v>0</v>
      </c>
      <c r="L134" s="231">
        <f t="shared" si="10"/>
        <v>0</v>
      </c>
      <c r="M134" s="234">
        <f t="shared" si="9"/>
        <v>0</v>
      </c>
      <c r="O134" s="230"/>
      <c r="P134" s="231"/>
      <c r="Q134" s="232"/>
    </row>
    <row r="135" spans="4:17" ht="18" customHeight="1">
      <c r="D135" s="233">
        <v>2020</v>
      </c>
      <c r="E135" s="231">
        <v>12</v>
      </c>
      <c r="F135" s="231" t="s">
        <v>633</v>
      </c>
      <c r="G135" s="231" t="s">
        <v>972</v>
      </c>
      <c r="H135" s="231" t="s">
        <v>973</v>
      </c>
      <c r="I135" s="231">
        <v>3</v>
      </c>
      <c r="J135" s="231" t="s">
        <v>474</v>
      </c>
      <c r="K135" s="231">
        <f>SUMIF('CF.1'!$D:$D,CFS!G135,'CF.1'!$T:$T)</f>
        <v>211309200</v>
      </c>
      <c r="L135" s="231">
        <f t="shared" si="10"/>
        <v>211309200</v>
      </c>
      <c r="M135" s="234">
        <f t="shared" si="9"/>
        <v>0</v>
      </c>
      <c r="O135" s="230"/>
      <c r="P135" s="231"/>
      <c r="Q135" s="232"/>
    </row>
    <row r="136" spans="4:17" ht="18" customHeight="1">
      <c r="D136" s="233">
        <v>2020</v>
      </c>
      <c r="E136" s="231">
        <v>12</v>
      </c>
      <c r="F136" s="231" t="s">
        <v>633</v>
      </c>
      <c r="G136" s="231" t="s">
        <v>974</v>
      </c>
      <c r="H136" s="231" t="s">
        <v>975</v>
      </c>
      <c r="I136" s="231">
        <v>3</v>
      </c>
      <c r="J136" s="231" t="s">
        <v>474</v>
      </c>
      <c r="K136" s="231">
        <f>SUMIF('CF.1'!$D:$D,CFS!G136,'CF.1'!$T:$T)</f>
        <v>-15000000</v>
      </c>
      <c r="L136" s="231">
        <f t="shared" si="10"/>
        <v>-15000000</v>
      </c>
      <c r="M136" s="234">
        <f t="shared" si="9"/>
        <v>0</v>
      </c>
      <c r="O136" s="230"/>
      <c r="P136" s="231"/>
      <c r="Q136" s="232"/>
    </row>
    <row r="137" spans="4:17" ht="18" customHeight="1">
      <c r="D137" s="233">
        <v>2020</v>
      </c>
      <c r="E137" s="231">
        <v>12</v>
      </c>
      <c r="F137" s="231" t="s">
        <v>633</v>
      </c>
      <c r="G137" s="231" t="s">
        <v>976</v>
      </c>
      <c r="H137" s="231" t="s">
        <v>977</v>
      </c>
      <c r="I137" s="231">
        <v>3</v>
      </c>
      <c r="J137" s="231" t="s">
        <v>474</v>
      </c>
      <c r="K137" s="231">
        <f>SUMIF('CF.1'!$D:$D,CFS!G137,'CF.1'!$T:$T)</f>
        <v>0</v>
      </c>
      <c r="L137" s="231">
        <f t="shared" si="10"/>
        <v>0</v>
      </c>
      <c r="M137" s="234">
        <f t="shared" si="9"/>
        <v>0</v>
      </c>
      <c r="O137" s="230"/>
      <c r="P137" s="231"/>
      <c r="Q137" s="232"/>
    </row>
    <row r="138" spans="4:17" ht="18" customHeight="1">
      <c r="D138" s="233">
        <v>2020</v>
      </c>
      <c r="E138" s="231">
        <v>12</v>
      </c>
      <c r="F138" s="231" t="s">
        <v>633</v>
      </c>
      <c r="G138" s="231" t="s">
        <v>978</v>
      </c>
      <c r="H138" s="231" t="s">
        <v>979</v>
      </c>
      <c r="I138" s="231">
        <v>3</v>
      </c>
      <c r="J138" s="231" t="s">
        <v>474</v>
      </c>
      <c r="K138" s="231">
        <f>SUMIF('CF.1'!$D:$D,CFS!G138,'CF.1'!$T:$T)</f>
        <v>-581108100</v>
      </c>
      <c r="L138" s="231">
        <f t="shared" si="10"/>
        <v>-581108100</v>
      </c>
      <c r="M138" s="234">
        <f t="shared" si="9"/>
        <v>0</v>
      </c>
      <c r="O138" s="230"/>
      <c r="P138" s="231"/>
      <c r="Q138" s="232"/>
    </row>
    <row r="139" spans="4:17" ht="18" customHeight="1">
      <c r="D139" s="233">
        <v>2020</v>
      </c>
      <c r="E139" s="231">
        <v>12</v>
      </c>
      <c r="F139" s="231" t="s">
        <v>633</v>
      </c>
      <c r="G139" s="231" t="s">
        <v>984</v>
      </c>
      <c r="H139" s="231" t="s">
        <v>985</v>
      </c>
      <c r="I139" s="231">
        <v>3</v>
      </c>
      <c r="J139" s="231" t="s">
        <v>474</v>
      </c>
      <c r="K139" s="231">
        <f>SUMIF('CF.1'!$D:$D,CFS!G139,'CF.1'!$T:$T)</f>
        <v>0</v>
      </c>
      <c r="L139" s="231">
        <f t="shared" si="10"/>
        <v>0</v>
      </c>
      <c r="M139" s="234">
        <f t="shared" si="9"/>
        <v>0</v>
      </c>
      <c r="O139" s="230"/>
      <c r="P139" s="231"/>
      <c r="Q139" s="232"/>
    </row>
    <row r="140" spans="4:17" ht="18" customHeight="1">
      <c r="D140" s="233">
        <v>2020</v>
      </c>
      <c r="E140" s="231">
        <v>12</v>
      </c>
      <c r="F140" s="231" t="s">
        <v>633</v>
      </c>
      <c r="G140" s="231" t="s">
        <v>986</v>
      </c>
      <c r="H140" s="231" t="s">
        <v>1558</v>
      </c>
      <c r="I140" s="231">
        <v>3</v>
      </c>
      <c r="J140" s="231" t="s">
        <v>474</v>
      </c>
      <c r="K140" s="231">
        <f>SUMIF('CF.1'!$D:$D,CFS!G140,'CF.1'!$T:$T)</f>
        <v>0</v>
      </c>
      <c r="L140" s="231">
        <f t="shared" si="10"/>
        <v>0</v>
      </c>
      <c r="M140" s="234">
        <f t="shared" si="9"/>
        <v>0</v>
      </c>
      <c r="O140" s="230"/>
      <c r="P140" s="231"/>
      <c r="Q140" s="232"/>
    </row>
    <row r="141" spans="4:17" ht="18" customHeight="1">
      <c r="D141" s="233">
        <v>2020</v>
      </c>
      <c r="E141" s="231">
        <v>12</v>
      </c>
      <c r="F141" s="231" t="s">
        <v>633</v>
      </c>
      <c r="G141" s="231" t="s">
        <v>1559</v>
      </c>
      <c r="H141" s="231" t="s">
        <v>1560</v>
      </c>
      <c r="I141" s="231">
        <v>3</v>
      </c>
      <c r="J141" s="231" t="s">
        <v>474</v>
      </c>
      <c r="K141" s="231">
        <f>SUMIF('CF.1'!$D:$D,CFS!G141,'CF.1'!$T:$T)</f>
        <v>0</v>
      </c>
      <c r="L141" s="231">
        <f t="shared" si="10"/>
        <v>0</v>
      </c>
      <c r="M141" s="234">
        <f t="shared" si="9"/>
        <v>0</v>
      </c>
      <c r="O141" s="230"/>
      <c r="P141" s="231"/>
      <c r="Q141" s="232"/>
    </row>
    <row r="142" spans="4:17" ht="18" customHeight="1">
      <c r="D142" s="233">
        <v>2020</v>
      </c>
      <c r="E142" s="231">
        <v>12</v>
      </c>
      <c r="F142" s="231" t="s">
        <v>633</v>
      </c>
      <c r="G142" s="231" t="s">
        <v>1561</v>
      </c>
      <c r="H142" s="231" t="s">
        <v>1562</v>
      </c>
      <c r="I142" s="231">
        <v>3</v>
      </c>
      <c r="J142" s="231" t="s">
        <v>474</v>
      </c>
      <c r="K142" s="231">
        <f>SUMIF('CF.1'!$D:$D,CFS!G142,'CF.1'!$T:$T)</f>
        <v>0</v>
      </c>
      <c r="L142" s="231">
        <f t="shared" si="10"/>
        <v>0</v>
      </c>
      <c r="M142" s="234">
        <f t="shared" si="9"/>
        <v>0</v>
      </c>
      <c r="O142" s="230"/>
      <c r="P142" s="231"/>
      <c r="Q142" s="232"/>
    </row>
    <row r="143" spans="4:17" ht="18" customHeight="1">
      <c r="D143" s="233">
        <v>2020</v>
      </c>
      <c r="E143" s="231">
        <v>12</v>
      </c>
      <c r="F143" s="231" t="s">
        <v>633</v>
      </c>
      <c r="G143" s="231" t="s">
        <v>1563</v>
      </c>
      <c r="H143" s="231" t="s">
        <v>1564</v>
      </c>
      <c r="I143" s="231">
        <v>3</v>
      </c>
      <c r="J143" s="231" t="s">
        <v>474</v>
      </c>
      <c r="K143" s="231">
        <f>SUMIF('CF.1'!$D:$D,CFS!G143,'CF.1'!$T:$T)</f>
        <v>0</v>
      </c>
      <c r="L143" s="231">
        <f t="shared" si="10"/>
        <v>0</v>
      </c>
      <c r="M143" s="234">
        <f t="shared" si="9"/>
        <v>0</v>
      </c>
      <c r="O143" s="230"/>
      <c r="P143" s="231"/>
      <c r="Q143" s="232"/>
    </row>
    <row r="144" spans="4:17" ht="18" customHeight="1">
      <c r="D144" s="233">
        <v>2020</v>
      </c>
      <c r="E144" s="231">
        <v>12</v>
      </c>
      <c r="F144" s="231" t="s">
        <v>633</v>
      </c>
      <c r="G144" s="231" t="s">
        <v>994</v>
      </c>
      <c r="H144" s="231" t="s">
        <v>995</v>
      </c>
      <c r="I144" s="231">
        <v>3</v>
      </c>
      <c r="J144" s="231" t="s">
        <v>474</v>
      </c>
      <c r="K144" s="231">
        <f>SUMIF('CF.1'!$D:$D,CFS!G144,'CF.1'!$T:$T)</f>
        <v>-120296753</v>
      </c>
      <c r="L144" s="231">
        <f t="shared" si="10"/>
        <v>-120296753</v>
      </c>
      <c r="M144" s="234">
        <f t="shared" si="9"/>
        <v>0</v>
      </c>
      <c r="O144" s="230"/>
      <c r="P144" s="231"/>
      <c r="Q144" s="232"/>
    </row>
    <row r="145" spans="4:17" ht="18" customHeight="1">
      <c r="D145" s="233">
        <v>2020</v>
      </c>
      <c r="E145" s="231">
        <v>12</v>
      </c>
      <c r="F145" s="231" t="s">
        <v>633</v>
      </c>
      <c r="G145" s="231" t="s">
        <v>1000</v>
      </c>
      <c r="H145" s="231" t="s">
        <v>1001</v>
      </c>
      <c r="I145" s="231">
        <v>3</v>
      </c>
      <c r="J145" s="231" t="s">
        <v>474</v>
      </c>
      <c r="K145" s="231">
        <f>SUMIF('CF.1'!$D:$D,CFS!G145,'CF.1'!$T:$T)</f>
        <v>1490929849</v>
      </c>
      <c r="L145" s="231">
        <f t="shared" si="10"/>
        <v>1490929849</v>
      </c>
      <c r="M145" s="234"/>
      <c r="O145" s="230"/>
      <c r="P145" s="231"/>
      <c r="Q145" s="232"/>
    </row>
    <row r="146" spans="4:17" ht="18" customHeight="1">
      <c r="D146" s="227">
        <v>2020</v>
      </c>
      <c r="E146" s="228">
        <v>12</v>
      </c>
      <c r="F146" s="228" t="s">
        <v>633</v>
      </c>
      <c r="G146" s="228" t="s">
        <v>1004</v>
      </c>
      <c r="H146" s="228" t="s">
        <v>1005</v>
      </c>
      <c r="I146" s="228">
        <v>2</v>
      </c>
      <c r="J146" s="228" t="s">
        <v>474</v>
      </c>
      <c r="K146" s="228">
        <f>SUM(K147:K151)</f>
        <v>521534831</v>
      </c>
      <c r="L146" s="228">
        <f>SUM(L147:L151)</f>
        <v>521534831</v>
      </c>
      <c r="M146" s="229">
        <f>SUM(M147:M151)</f>
        <v>0</v>
      </c>
      <c r="O146" s="230"/>
      <c r="P146" s="231"/>
      <c r="Q146" s="232"/>
    </row>
    <row r="147" spans="4:17" ht="18" customHeight="1">
      <c r="D147" s="233">
        <v>2020</v>
      </c>
      <c r="E147" s="231">
        <v>12</v>
      </c>
      <c r="F147" s="231" t="s">
        <v>633</v>
      </c>
      <c r="G147" s="231" t="s">
        <v>1006</v>
      </c>
      <c r="H147" s="231" t="s">
        <v>1007</v>
      </c>
      <c r="I147" s="231">
        <v>3</v>
      </c>
      <c r="J147" s="231" t="s">
        <v>474</v>
      </c>
      <c r="K147" s="231">
        <f>SUMIF('CF.1'!$D:$D,CFS!G147,'CF.1'!$T:$T)</f>
        <v>0</v>
      </c>
      <c r="L147" s="231">
        <f t="shared" ref="L147:L151" si="11">K147</f>
        <v>0</v>
      </c>
      <c r="M147" s="234">
        <f>L147-K147</f>
        <v>0</v>
      </c>
      <c r="O147" s="230"/>
      <c r="P147" s="231"/>
      <c r="Q147" s="232"/>
    </row>
    <row r="148" spans="4:17" ht="18" customHeight="1">
      <c r="D148" s="233">
        <v>2020</v>
      </c>
      <c r="E148" s="231">
        <v>12</v>
      </c>
      <c r="F148" s="231" t="s">
        <v>633</v>
      </c>
      <c r="G148" s="231" t="s">
        <v>1008</v>
      </c>
      <c r="H148" s="231" t="s">
        <v>1009</v>
      </c>
      <c r="I148" s="231">
        <v>3</v>
      </c>
      <c r="J148" s="231" t="s">
        <v>474</v>
      </c>
      <c r="K148" s="231">
        <f>SUMIF('CF.1'!$D:$D,CFS!G148,'CF.1'!$T:$T)</f>
        <v>603439853</v>
      </c>
      <c r="L148" s="231">
        <f t="shared" si="11"/>
        <v>603439853</v>
      </c>
      <c r="M148" s="234">
        <f>L148-K148</f>
        <v>0</v>
      </c>
      <c r="O148" s="230"/>
      <c r="P148" s="231"/>
      <c r="Q148" s="232"/>
    </row>
    <row r="149" spans="4:17" ht="18" customHeight="1">
      <c r="D149" s="233">
        <v>2020</v>
      </c>
      <c r="E149" s="231">
        <v>12</v>
      </c>
      <c r="F149" s="231" t="s">
        <v>633</v>
      </c>
      <c r="G149" s="231" t="s">
        <v>1010</v>
      </c>
      <c r="H149" s="231" t="s">
        <v>1011</v>
      </c>
      <c r="I149" s="231">
        <v>3</v>
      </c>
      <c r="J149" s="231" t="s">
        <v>474</v>
      </c>
      <c r="K149" s="231">
        <f>SUMIF('CF.1'!$D:$D,CFS!G149,'CF.1'!$T:$T)</f>
        <v>-172075657</v>
      </c>
      <c r="L149" s="231">
        <f t="shared" si="11"/>
        <v>-172075657</v>
      </c>
      <c r="M149" s="234">
        <f>L149-K149</f>
        <v>0</v>
      </c>
      <c r="O149" s="230"/>
      <c r="P149" s="231"/>
      <c r="Q149" s="232"/>
    </row>
    <row r="150" spans="4:17" ht="18" customHeight="1">
      <c r="D150" s="233">
        <v>2020</v>
      </c>
      <c r="E150" s="231">
        <v>12</v>
      </c>
      <c r="F150" s="231" t="s">
        <v>633</v>
      </c>
      <c r="G150" s="231" t="s">
        <v>1012</v>
      </c>
      <c r="H150" s="231" t="s">
        <v>1013</v>
      </c>
      <c r="I150" s="231">
        <v>3</v>
      </c>
      <c r="J150" s="231" t="s">
        <v>474</v>
      </c>
      <c r="K150" s="231">
        <f>SUMIF('CF.1'!$D:$D,CFS!G150,'CF.1'!$T:$T)</f>
        <v>90170635</v>
      </c>
      <c r="L150" s="231">
        <f t="shared" si="11"/>
        <v>90170635</v>
      </c>
      <c r="M150" s="234">
        <f>L150-K150</f>
        <v>0</v>
      </c>
      <c r="O150" s="230"/>
      <c r="P150" s="231"/>
      <c r="Q150" s="232"/>
    </row>
    <row r="151" spans="4:17" ht="18" customHeight="1">
      <c r="D151" s="233">
        <v>2020</v>
      </c>
      <c r="E151" s="231">
        <v>12</v>
      </c>
      <c r="F151" s="231" t="s">
        <v>633</v>
      </c>
      <c r="G151" s="231" t="s">
        <v>1014</v>
      </c>
      <c r="H151" s="231" t="s">
        <v>1015</v>
      </c>
      <c r="I151" s="231">
        <v>3</v>
      </c>
      <c r="J151" s="231" t="s">
        <v>474</v>
      </c>
      <c r="K151" s="231">
        <f>SUMIF('CF.1'!$D:$D,CFS!G151,'CF.1'!$T:$T)</f>
        <v>0</v>
      </c>
      <c r="L151" s="231">
        <f t="shared" si="11"/>
        <v>0</v>
      </c>
      <c r="M151" s="234">
        <f>L151-K151</f>
        <v>0</v>
      </c>
      <c r="O151" s="230"/>
      <c r="P151" s="231"/>
      <c r="Q151" s="232"/>
    </row>
    <row r="152" spans="4:17" ht="18" customHeight="1">
      <c r="D152" s="227">
        <v>2020</v>
      </c>
      <c r="E152" s="228">
        <v>12</v>
      </c>
      <c r="F152" s="228" t="s">
        <v>633</v>
      </c>
      <c r="G152" s="228" t="s">
        <v>1016</v>
      </c>
      <c r="H152" s="228" t="s">
        <v>1017</v>
      </c>
      <c r="I152" s="228">
        <v>1</v>
      </c>
      <c r="J152" s="228" t="s">
        <v>474</v>
      </c>
      <c r="K152" s="228">
        <f>SUM(K153,K204)</f>
        <v>-2470877528</v>
      </c>
      <c r="L152" s="228">
        <f>SUM(L153,L204)</f>
        <v>-2470877528</v>
      </c>
      <c r="M152" s="229">
        <f>SUM(M153,M204)</f>
        <v>0</v>
      </c>
      <c r="O152" s="230"/>
      <c r="P152" s="231"/>
      <c r="Q152" s="232"/>
    </row>
    <row r="153" spans="4:17" ht="18" customHeight="1">
      <c r="D153" s="227">
        <v>2020</v>
      </c>
      <c r="E153" s="228">
        <v>12</v>
      </c>
      <c r="F153" s="228" t="s">
        <v>633</v>
      </c>
      <c r="G153" s="228" t="s">
        <v>1018</v>
      </c>
      <c r="H153" s="228" t="s">
        <v>1019</v>
      </c>
      <c r="I153" s="228">
        <v>2</v>
      </c>
      <c r="J153" s="228" t="s">
        <v>474</v>
      </c>
      <c r="K153" s="228">
        <f>SUM(K154:K203)</f>
        <v>2032106200</v>
      </c>
      <c r="L153" s="228">
        <f>SUM(L154:L203)</f>
        <v>2032106200</v>
      </c>
      <c r="M153" s="229">
        <f>SUM(M154:M203)</f>
        <v>0</v>
      </c>
      <c r="O153" s="230"/>
      <c r="P153" s="231"/>
      <c r="Q153" s="232"/>
    </row>
    <row r="154" spans="4:17" ht="18" customHeight="1">
      <c r="D154" s="233">
        <v>2020</v>
      </c>
      <c r="E154" s="231">
        <v>12</v>
      </c>
      <c r="F154" s="231" t="s">
        <v>633</v>
      </c>
      <c r="G154" s="231" t="s">
        <v>1020</v>
      </c>
      <c r="H154" s="231" t="s">
        <v>1021</v>
      </c>
      <c r="I154" s="231">
        <v>3</v>
      </c>
      <c r="J154" s="231" t="s">
        <v>474</v>
      </c>
      <c r="K154" s="231">
        <f>SUMIF('CF.1'!$D:$D,CFS!G154,'CF.1'!$T:$T)</f>
        <v>347340000</v>
      </c>
      <c r="L154" s="231">
        <f t="shared" ref="L154:L203" si="12">K154</f>
        <v>347340000</v>
      </c>
      <c r="M154" s="234">
        <f t="shared" ref="M154:M203" si="13">L154-K154</f>
        <v>0</v>
      </c>
      <c r="O154" s="230"/>
      <c r="P154" s="231"/>
      <c r="Q154" s="232"/>
    </row>
    <row r="155" spans="4:17" ht="18" customHeight="1">
      <c r="D155" s="233">
        <v>2020</v>
      </c>
      <c r="E155" s="231">
        <v>12</v>
      </c>
      <c r="F155" s="231" t="s">
        <v>633</v>
      </c>
      <c r="G155" s="231" t="s">
        <v>1022</v>
      </c>
      <c r="H155" s="231" t="s">
        <v>1023</v>
      </c>
      <c r="I155" s="231">
        <v>3</v>
      </c>
      <c r="J155" s="231" t="s">
        <v>474</v>
      </c>
      <c r="K155" s="231">
        <f>SUMIF('CF.1'!$D:$D,CFS!G155,'CF.1'!$T:$T)</f>
        <v>0</v>
      </c>
      <c r="L155" s="231">
        <f t="shared" si="12"/>
        <v>0</v>
      </c>
      <c r="M155" s="234">
        <f t="shared" si="13"/>
        <v>0</v>
      </c>
      <c r="O155" s="230"/>
      <c r="P155" s="231"/>
      <c r="Q155" s="232"/>
    </row>
    <row r="156" spans="4:17" ht="18" customHeight="1">
      <c r="D156" s="233">
        <v>2020</v>
      </c>
      <c r="E156" s="231">
        <v>12</v>
      </c>
      <c r="F156" s="231" t="s">
        <v>633</v>
      </c>
      <c r="G156" s="231" t="s">
        <v>1024</v>
      </c>
      <c r="H156" s="231" t="s">
        <v>1025</v>
      </c>
      <c r="I156" s="231">
        <v>3</v>
      </c>
      <c r="J156" s="231" t="s">
        <v>474</v>
      </c>
      <c r="K156" s="231">
        <f>SUMIF('CF.1'!$D:$D,CFS!G156,'CF.1'!$T:$T)</f>
        <v>0</v>
      </c>
      <c r="L156" s="231">
        <f t="shared" si="12"/>
        <v>0</v>
      </c>
      <c r="M156" s="234">
        <f t="shared" si="13"/>
        <v>0</v>
      </c>
      <c r="O156" s="230"/>
      <c r="P156" s="231"/>
      <c r="Q156" s="232"/>
    </row>
    <row r="157" spans="4:17" ht="18" customHeight="1">
      <c r="D157" s="233">
        <v>2020</v>
      </c>
      <c r="E157" s="231">
        <v>12</v>
      </c>
      <c r="F157" s="231" t="s">
        <v>633</v>
      </c>
      <c r="G157" s="231" t="s">
        <v>1026</v>
      </c>
      <c r="H157" s="231" t="s">
        <v>1027</v>
      </c>
      <c r="I157" s="231">
        <v>3</v>
      </c>
      <c r="J157" s="231" t="s">
        <v>474</v>
      </c>
      <c r="K157" s="231">
        <f>SUMIF('CF.1'!$D:$D,CFS!G157,'CF.1'!$T:$T)</f>
        <v>0</v>
      </c>
      <c r="L157" s="231">
        <f t="shared" si="12"/>
        <v>0</v>
      </c>
      <c r="M157" s="234">
        <f t="shared" si="13"/>
        <v>0</v>
      </c>
      <c r="O157" s="230"/>
      <c r="P157" s="231"/>
      <c r="Q157" s="232"/>
    </row>
    <row r="158" spans="4:17" ht="18" customHeight="1">
      <c r="D158" s="233">
        <v>2020</v>
      </c>
      <c r="E158" s="231">
        <v>12</v>
      </c>
      <c r="F158" s="231" t="s">
        <v>633</v>
      </c>
      <c r="G158" s="231" t="s">
        <v>1028</v>
      </c>
      <c r="H158" s="231" t="s">
        <v>1029</v>
      </c>
      <c r="I158" s="231">
        <v>3</v>
      </c>
      <c r="J158" s="231" t="s">
        <v>474</v>
      </c>
      <c r="K158" s="231">
        <f>SUMIF('CF.1'!$D:$D,CFS!G158,'CF.1'!$T:$T)</f>
        <v>0</v>
      </c>
      <c r="L158" s="231">
        <f t="shared" si="12"/>
        <v>0</v>
      </c>
      <c r="M158" s="234">
        <f t="shared" si="13"/>
        <v>0</v>
      </c>
      <c r="O158" s="230"/>
      <c r="P158" s="231"/>
      <c r="Q158" s="232"/>
    </row>
    <row r="159" spans="4:17" ht="18" customHeight="1">
      <c r="D159" s="233">
        <v>2020</v>
      </c>
      <c r="E159" s="231">
        <v>12</v>
      </c>
      <c r="F159" s="231" t="s">
        <v>633</v>
      </c>
      <c r="G159" s="231" t="s">
        <v>1030</v>
      </c>
      <c r="H159" s="231" t="s">
        <v>1031</v>
      </c>
      <c r="I159" s="231">
        <v>3</v>
      </c>
      <c r="J159" s="231" t="s">
        <v>474</v>
      </c>
      <c r="K159" s="231">
        <f>SUMIF('CF.1'!$D:$D,CFS!G159,'CF.1'!$T:$T)</f>
        <v>0</v>
      </c>
      <c r="L159" s="231">
        <f t="shared" si="12"/>
        <v>0</v>
      </c>
      <c r="M159" s="234">
        <f t="shared" si="13"/>
        <v>0</v>
      </c>
      <c r="O159" s="230"/>
      <c r="P159" s="231"/>
      <c r="Q159" s="232"/>
    </row>
    <row r="160" spans="4:17" ht="18" customHeight="1">
      <c r="D160" s="233">
        <v>2020</v>
      </c>
      <c r="E160" s="231">
        <v>12</v>
      </c>
      <c r="F160" s="231" t="s">
        <v>633</v>
      </c>
      <c r="G160" s="231" t="s">
        <v>1032</v>
      </c>
      <c r="H160" s="231" t="s">
        <v>1033</v>
      </c>
      <c r="I160" s="231">
        <v>3</v>
      </c>
      <c r="J160" s="231" t="s">
        <v>474</v>
      </c>
      <c r="K160" s="231">
        <f>SUMIF('CF.1'!$D:$D,CFS!G160,'CF.1'!$T:$T)</f>
        <v>0</v>
      </c>
      <c r="L160" s="231">
        <f t="shared" si="12"/>
        <v>0</v>
      </c>
      <c r="M160" s="234">
        <f t="shared" si="13"/>
        <v>0</v>
      </c>
      <c r="O160" s="230"/>
      <c r="P160" s="231"/>
      <c r="Q160" s="232"/>
    </row>
    <row r="161" spans="4:17" ht="18" customHeight="1">
      <c r="D161" s="233">
        <v>2020</v>
      </c>
      <c r="E161" s="231">
        <v>12</v>
      </c>
      <c r="F161" s="231" t="s">
        <v>633</v>
      </c>
      <c r="G161" s="231" t="s">
        <v>1034</v>
      </c>
      <c r="H161" s="231" t="s">
        <v>1035</v>
      </c>
      <c r="I161" s="231">
        <v>3</v>
      </c>
      <c r="J161" s="231" t="s">
        <v>474</v>
      </c>
      <c r="K161" s="231">
        <f>SUMIF('CF.1'!$D:$D,CFS!G161,'CF.1'!$T:$T)</f>
        <v>1682388000</v>
      </c>
      <c r="L161" s="231">
        <f t="shared" si="12"/>
        <v>1682388000</v>
      </c>
      <c r="M161" s="234">
        <f t="shared" si="13"/>
        <v>0</v>
      </c>
      <c r="O161" s="230"/>
      <c r="P161" s="231"/>
      <c r="Q161" s="232"/>
    </row>
    <row r="162" spans="4:17" ht="18" customHeight="1">
      <c r="D162" s="233">
        <v>2020</v>
      </c>
      <c r="E162" s="231">
        <v>12</v>
      </c>
      <c r="F162" s="231" t="s">
        <v>633</v>
      </c>
      <c r="G162" s="231" t="s">
        <v>1036</v>
      </c>
      <c r="H162" s="231" t="s">
        <v>1037</v>
      </c>
      <c r="I162" s="231">
        <v>3</v>
      </c>
      <c r="J162" s="231" t="s">
        <v>474</v>
      </c>
      <c r="K162" s="231">
        <f>SUMIF('CF.1'!$D:$D,CFS!G162,'CF.1'!$T:$T)</f>
        <v>0</v>
      </c>
      <c r="L162" s="231">
        <f t="shared" si="12"/>
        <v>0</v>
      </c>
      <c r="M162" s="234">
        <f t="shared" si="13"/>
        <v>0</v>
      </c>
      <c r="O162" s="230"/>
      <c r="P162" s="231"/>
      <c r="Q162" s="232"/>
    </row>
    <row r="163" spans="4:17" ht="18" customHeight="1">
      <c r="D163" s="233">
        <v>2020</v>
      </c>
      <c r="E163" s="231">
        <v>12</v>
      </c>
      <c r="F163" s="231" t="s">
        <v>633</v>
      </c>
      <c r="G163" s="231" t="s">
        <v>1038</v>
      </c>
      <c r="H163" s="231" t="s">
        <v>1039</v>
      </c>
      <c r="I163" s="231">
        <v>3</v>
      </c>
      <c r="J163" s="231" t="s">
        <v>474</v>
      </c>
      <c r="K163" s="231">
        <f>SUMIF('CF.1'!$D:$D,CFS!G163,'CF.1'!$T:$T)</f>
        <v>0</v>
      </c>
      <c r="L163" s="231">
        <f t="shared" si="12"/>
        <v>0</v>
      </c>
      <c r="M163" s="234">
        <f t="shared" si="13"/>
        <v>0</v>
      </c>
      <c r="O163" s="230"/>
      <c r="P163" s="231"/>
      <c r="Q163" s="232"/>
    </row>
    <row r="164" spans="4:17" ht="18" customHeight="1">
      <c r="D164" s="233">
        <v>2020</v>
      </c>
      <c r="E164" s="231">
        <v>12</v>
      </c>
      <c r="F164" s="231" t="s">
        <v>633</v>
      </c>
      <c r="G164" s="231" t="s">
        <v>1040</v>
      </c>
      <c r="H164" s="231" t="s">
        <v>1041</v>
      </c>
      <c r="I164" s="231">
        <v>3</v>
      </c>
      <c r="J164" s="231" t="s">
        <v>474</v>
      </c>
      <c r="K164" s="231">
        <f>SUMIF('CF.1'!$D:$D,CFS!G164,'CF.1'!$T:$T)</f>
        <v>0</v>
      </c>
      <c r="L164" s="231">
        <f t="shared" si="12"/>
        <v>0</v>
      </c>
      <c r="M164" s="234">
        <f t="shared" si="13"/>
        <v>0</v>
      </c>
      <c r="O164" s="230"/>
      <c r="P164" s="231"/>
      <c r="Q164" s="232"/>
    </row>
    <row r="165" spans="4:17" ht="18" customHeight="1">
      <c r="D165" s="233">
        <v>2020</v>
      </c>
      <c r="E165" s="231">
        <v>12</v>
      </c>
      <c r="F165" s="231" t="s">
        <v>633</v>
      </c>
      <c r="G165" s="231" t="s">
        <v>1565</v>
      </c>
      <c r="H165" s="231" t="s">
        <v>1043</v>
      </c>
      <c r="I165" s="231">
        <v>3</v>
      </c>
      <c r="J165" s="231" t="s">
        <v>474</v>
      </c>
      <c r="K165" s="231">
        <f>SUMIF('CF.1'!$D:$D,CFS!G165,'CF.1'!$T:$T)</f>
        <v>0</v>
      </c>
      <c r="L165" s="231">
        <f t="shared" si="12"/>
        <v>0</v>
      </c>
      <c r="M165" s="234">
        <f t="shared" si="13"/>
        <v>0</v>
      </c>
      <c r="O165" s="230"/>
      <c r="P165" s="231"/>
      <c r="Q165" s="232"/>
    </row>
    <row r="166" spans="4:17" ht="18" customHeight="1">
      <c r="D166" s="233">
        <v>2020</v>
      </c>
      <c r="E166" s="231">
        <v>12</v>
      </c>
      <c r="F166" s="231" t="s">
        <v>633</v>
      </c>
      <c r="G166" s="231" t="s">
        <v>1566</v>
      </c>
      <c r="H166" s="231" t="s">
        <v>1567</v>
      </c>
      <c r="I166" s="231">
        <v>3</v>
      </c>
      <c r="J166" s="231" t="s">
        <v>474</v>
      </c>
      <c r="K166" s="231">
        <f>SUMIF('CF.1'!$D:$D,CFS!G166,'CF.1'!$T:$T)</f>
        <v>0</v>
      </c>
      <c r="L166" s="231">
        <f t="shared" si="12"/>
        <v>0</v>
      </c>
      <c r="M166" s="234">
        <f t="shared" si="13"/>
        <v>0</v>
      </c>
      <c r="O166" s="230"/>
      <c r="P166" s="231"/>
      <c r="Q166" s="232"/>
    </row>
    <row r="167" spans="4:17" ht="18" customHeight="1">
      <c r="D167" s="233">
        <v>2020</v>
      </c>
      <c r="E167" s="231">
        <v>12</v>
      </c>
      <c r="F167" s="231" t="s">
        <v>633</v>
      </c>
      <c r="G167" s="231" t="s">
        <v>1044</v>
      </c>
      <c r="H167" s="231" t="s">
        <v>1045</v>
      </c>
      <c r="I167" s="231">
        <v>3</v>
      </c>
      <c r="J167" s="231" t="s">
        <v>474</v>
      </c>
      <c r="K167" s="231">
        <f>SUMIF('CF.1'!$D:$D,CFS!G167,'CF.1'!$T:$T)</f>
        <v>0</v>
      </c>
      <c r="L167" s="231">
        <f t="shared" si="12"/>
        <v>0</v>
      </c>
      <c r="M167" s="234">
        <f t="shared" si="13"/>
        <v>0</v>
      </c>
      <c r="O167" s="230"/>
      <c r="P167" s="231"/>
      <c r="Q167" s="232"/>
    </row>
    <row r="168" spans="4:17" ht="18" customHeight="1">
      <c r="D168" s="233">
        <v>2020</v>
      </c>
      <c r="E168" s="231">
        <v>12</v>
      </c>
      <c r="F168" s="231" t="s">
        <v>633</v>
      </c>
      <c r="G168" s="231" t="s">
        <v>1046</v>
      </c>
      <c r="H168" s="231" t="s">
        <v>1568</v>
      </c>
      <c r="I168" s="231">
        <v>3</v>
      </c>
      <c r="J168" s="231" t="s">
        <v>474</v>
      </c>
      <c r="K168" s="231">
        <f>SUMIF('CF.1'!$D:$D,CFS!G168,'CF.1'!$T:$T)</f>
        <v>0</v>
      </c>
      <c r="L168" s="231">
        <f t="shared" si="12"/>
        <v>0</v>
      </c>
      <c r="M168" s="234">
        <f t="shared" si="13"/>
        <v>0</v>
      </c>
      <c r="O168" s="230"/>
      <c r="P168" s="231"/>
      <c r="Q168" s="232"/>
    </row>
    <row r="169" spans="4:17" ht="18" customHeight="1">
      <c r="D169" s="233">
        <v>2020</v>
      </c>
      <c r="E169" s="231">
        <v>12</v>
      </c>
      <c r="F169" s="231" t="s">
        <v>633</v>
      </c>
      <c r="G169" s="231" t="s">
        <v>1048</v>
      </c>
      <c r="H169" s="231" t="s">
        <v>1049</v>
      </c>
      <c r="I169" s="231">
        <v>3</v>
      </c>
      <c r="J169" s="231" t="s">
        <v>474</v>
      </c>
      <c r="K169" s="231">
        <f>SUMIF('CF.1'!$D:$D,CFS!G169,'CF.1'!$T:$T)</f>
        <v>0</v>
      </c>
      <c r="L169" s="231">
        <f t="shared" si="12"/>
        <v>0</v>
      </c>
      <c r="M169" s="234">
        <f t="shared" si="13"/>
        <v>0</v>
      </c>
      <c r="O169" s="230"/>
      <c r="P169" s="231"/>
      <c r="Q169" s="232"/>
    </row>
    <row r="170" spans="4:17" ht="18" customHeight="1">
      <c r="D170" s="233">
        <v>2020</v>
      </c>
      <c r="E170" s="231">
        <v>12</v>
      </c>
      <c r="F170" s="231" t="s">
        <v>633</v>
      </c>
      <c r="G170" s="231" t="s">
        <v>1050</v>
      </c>
      <c r="H170" s="231" t="s">
        <v>1051</v>
      </c>
      <c r="I170" s="231">
        <v>3</v>
      </c>
      <c r="J170" s="231" t="s">
        <v>474</v>
      </c>
      <c r="K170" s="231">
        <f>SUMIF('CF.1'!$D:$D,CFS!G170,'CF.1'!$T:$T)</f>
        <v>0</v>
      </c>
      <c r="L170" s="231">
        <f t="shared" si="12"/>
        <v>0</v>
      </c>
      <c r="M170" s="234">
        <f t="shared" si="13"/>
        <v>0</v>
      </c>
      <c r="O170" s="230"/>
      <c r="P170" s="231"/>
      <c r="Q170" s="232"/>
    </row>
    <row r="171" spans="4:17" ht="18" customHeight="1">
      <c r="D171" s="233">
        <v>2020</v>
      </c>
      <c r="E171" s="231">
        <v>12</v>
      </c>
      <c r="F171" s="231" t="s">
        <v>633</v>
      </c>
      <c r="G171" s="231" t="s">
        <v>1052</v>
      </c>
      <c r="H171" s="231" t="s">
        <v>1053</v>
      </c>
      <c r="I171" s="231">
        <v>3</v>
      </c>
      <c r="J171" s="231" t="s">
        <v>474</v>
      </c>
      <c r="K171" s="231">
        <f>SUMIF('CF.1'!$D:$D,CFS!G171,'CF.1'!$T:$T)</f>
        <v>0</v>
      </c>
      <c r="L171" s="231">
        <f t="shared" si="12"/>
        <v>0</v>
      </c>
      <c r="M171" s="234">
        <f t="shared" si="13"/>
        <v>0</v>
      </c>
      <c r="O171" s="230"/>
      <c r="P171" s="231"/>
      <c r="Q171" s="232"/>
    </row>
    <row r="172" spans="4:17" ht="18" customHeight="1">
      <c r="D172" s="233">
        <v>2020</v>
      </c>
      <c r="E172" s="231">
        <v>12</v>
      </c>
      <c r="F172" s="231" t="s">
        <v>633</v>
      </c>
      <c r="G172" s="231" t="s">
        <v>1054</v>
      </c>
      <c r="H172" s="231" t="s">
        <v>1055</v>
      </c>
      <c r="I172" s="231">
        <v>3</v>
      </c>
      <c r="J172" s="231" t="s">
        <v>474</v>
      </c>
      <c r="K172" s="231">
        <f>SUMIF('CF.1'!$D:$D,CFS!G172,'CF.1'!$T:$T)</f>
        <v>0</v>
      </c>
      <c r="L172" s="231">
        <f t="shared" si="12"/>
        <v>0</v>
      </c>
      <c r="M172" s="234">
        <f t="shared" si="13"/>
        <v>0</v>
      </c>
      <c r="O172" s="230"/>
      <c r="P172" s="231"/>
      <c r="Q172" s="232"/>
    </row>
    <row r="173" spans="4:17" ht="18" customHeight="1">
      <c r="D173" s="233">
        <v>2020</v>
      </c>
      <c r="E173" s="231">
        <v>12</v>
      </c>
      <c r="F173" s="231" t="s">
        <v>633</v>
      </c>
      <c r="G173" s="231" t="s">
        <v>1056</v>
      </c>
      <c r="H173" s="231" t="s">
        <v>1057</v>
      </c>
      <c r="I173" s="231">
        <v>3</v>
      </c>
      <c r="J173" s="231" t="s">
        <v>474</v>
      </c>
      <c r="K173" s="231">
        <f>SUMIF('CF.1'!$D:$D,CFS!G173,'CF.1'!$T:$T)</f>
        <v>0</v>
      </c>
      <c r="L173" s="231">
        <f t="shared" si="12"/>
        <v>0</v>
      </c>
      <c r="M173" s="234">
        <f t="shared" si="13"/>
        <v>0</v>
      </c>
      <c r="O173" s="230"/>
      <c r="P173" s="231"/>
      <c r="Q173" s="232"/>
    </row>
    <row r="174" spans="4:17" ht="18" customHeight="1">
      <c r="D174" s="233">
        <v>2020</v>
      </c>
      <c r="E174" s="231">
        <v>12</v>
      </c>
      <c r="F174" s="231" t="s">
        <v>633</v>
      </c>
      <c r="G174" s="231" t="s">
        <v>1058</v>
      </c>
      <c r="H174" s="231" t="s">
        <v>1059</v>
      </c>
      <c r="I174" s="231">
        <v>3</v>
      </c>
      <c r="J174" s="231" t="s">
        <v>474</v>
      </c>
      <c r="K174" s="231">
        <f>SUMIF('CF.1'!$D:$D,CFS!G174,'CF.1'!$T:$T)</f>
        <v>0</v>
      </c>
      <c r="L174" s="231">
        <f t="shared" si="12"/>
        <v>0</v>
      </c>
      <c r="M174" s="234">
        <f t="shared" si="13"/>
        <v>0</v>
      </c>
      <c r="O174" s="230"/>
      <c r="P174" s="231"/>
      <c r="Q174" s="232"/>
    </row>
    <row r="175" spans="4:17" ht="18" customHeight="1">
      <c r="D175" s="233">
        <v>2020</v>
      </c>
      <c r="E175" s="231">
        <v>12</v>
      </c>
      <c r="F175" s="231" t="s">
        <v>633</v>
      </c>
      <c r="G175" s="231" t="s">
        <v>1060</v>
      </c>
      <c r="H175" s="231" t="s">
        <v>1061</v>
      </c>
      <c r="I175" s="231">
        <v>3</v>
      </c>
      <c r="J175" s="231" t="s">
        <v>474</v>
      </c>
      <c r="K175" s="231">
        <f>SUMIF('CF.1'!$D:$D,CFS!G175,'CF.1'!$T:$T)</f>
        <v>0</v>
      </c>
      <c r="L175" s="231">
        <f t="shared" si="12"/>
        <v>0</v>
      </c>
      <c r="M175" s="234">
        <f t="shared" si="13"/>
        <v>0</v>
      </c>
      <c r="O175" s="230"/>
      <c r="P175" s="231"/>
      <c r="Q175" s="232"/>
    </row>
    <row r="176" spans="4:17" ht="18" customHeight="1">
      <c r="D176" s="233">
        <v>2020</v>
      </c>
      <c r="E176" s="231">
        <v>12</v>
      </c>
      <c r="F176" s="231" t="s">
        <v>633</v>
      </c>
      <c r="G176" s="231" t="s">
        <v>1062</v>
      </c>
      <c r="H176" s="231" t="s">
        <v>1063</v>
      </c>
      <c r="I176" s="231">
        <v>3</v>
      </c>
      <c r="J176" s="231" t="s">
        <v>474</v>
      </c>
      <c r="K176" s="231">
        <f>SUMIF('CF.1'!$D:$D,CFS!G176,'CF.1'!$T:$T)</f>
        <v>0</v>
      </c>
      <c r="L176" s="231">
        <f t="shared" si="12"/>
        <v>0</v>
      </c>
      <c r="M176" s="234">
        <f t="shared" si="13"/>
        <v>0</v>
      </c>
      <c r="O176" s="230"/>
      <c r="P176" s="231"/>
      <c r="Q176" s="232"/>
    </row>
    <row r="177" spans="4:17" ht="18" customHeight="1">
      <c r="D177" s="233">
        <v>2020</v>
      </c>
      <c r="E177" s="231">
        <v>12</v>
      </c>
      <c r="F177" s="231" t="s">
        <v>633</v>
      </c>
      <c r="G177" s="231" t="s">
        <v>1064</v>
      </c>
      <c r="H177" s="231" t="s">
        <v>1065</v>
      </c>
      <c r="I177" s="231">
        <v>3</v>
      </c>
      <c r="J177" s="231" t="s">
        <v>474</v>
      </c>
      <c r="K177" s="231">
        <f>SUMIF('CF.1'!$D:$D,CFS!G177,'CF.1'!$T:$T)</f>
        <v>0</v>
      </c>
      <c r="L177" s="231">
        <f t="shared" si="12"/>
        <v>0</v>
      </c>
      <c r="M177" s="234">
        <f t="shared" si="13"/>
        <v>0</v>
      </c>
      <c r="O177" s="230"/>
      <c r="P177" s="231"/>
      <c r="Q177" s="232"/>
    </row>
    <row r="178" spans="4:17" ht="18" customHeight="1">
      <c r="D178" s="233">
        <v>2020</v>
      </c>
      <c r="E178" s="231">
        <v>12</v>
      </c>
      <c r="F178" s="231" t="s">
        <v>633</v>
      </c>
      <c r="G178" s="231" t="s">
        <v>1066</v>
      </c>
      <c r="H178" s="231" t="s">
        <v>1067</v>
      </c>
      <c r="I178" s="231">
        <v>3</v>
      </c>
      <c r="J178" s="231" t="s">
        <v>474</v>
      </c>
      <c r="K178" s="231">
        <f>SUMIF('CF.1'!$D:$D,CFS!G178,'CF.1'!$T:$T)</f>
        <v>0</v>
      </c>
      <c r="L178" s="231">
        <f t="shared" si="12"/>
        <v>0</v>
      </c>
      <c r="M178" s="234">
        <f t="shared" si="13"/>
        <v>0</v>
      </c>
      <c r="O178" s="230"/>
      <c r="P178" s="231"/>
      <c r="Q178" s="232"/>
    </row>
    <row r="179" spans="4:17" ht="18" customHeight="1">
      <c r="D179" s="233">
        <v>2020</v>
      </c>
      <c r="E179" s="231">
        <v>12</v>
      </c>
      <c r="F179" s="231" t="s">
        <v>633</v>
      </c>
      <c r="G179" s="231" t="s">
        <v>1068</v>
      </c>
      <c r="H179" s="231" t="s">
        <v>1069</v>
      </c>
      <c r="I179" s="231">
        <v>3</v>
      </c>
      <c r="J179" s="231" t="s">
        <v>474</v>
      </c>
      <c r="K179" s="231">
        <f>SUMIF('CF.1'!$D:$D,CFS!G179,'CF.1'!$T:$T)</f>
        <v>0</v>
      </c>
      <c r="L179" s="231">
        <f t="shared" si="12"/>
        <v>0</v>
      </c>
      <c r="M179" s="234">
        <f t="shared" si="13"/>
        <v>0</v>
      </c>
      <c r="O179" s="230"/>
      <c r="P179" s="231"/>
      <c r="Q179" s="232"/>
    </row>
    <row r="180" spans="4:17" ht="18" customHeight="1">
      <c r="D180" s="233">
        <v>2020</v>
      </c>
      <c r="E180" s="231">
        <v>12</v>
      </c>
      <c r="F180" s="231" t="s">
        <v>633</v>
      </c>
      <c r="G180" s="231" t="s">
        <v>1070</v>
      </c>
      <c r="H180" s="231" t="s">
        <v>1071</v>
      </c>
      <c r="I180" s="231">
        <v>3</v>
      </c>
      <c r="J180" s="231" t="s">
        <v>474</v>
      </c>
      <c r="K180" s="231">
        <f>SUMIF('CF.1'!$D:$D,CFS!G180,'CF.1'!$T:$T)</f>
        <v>0</v>
      </c>
      <c r="L180" s="231">
        <f t="shared" si="12"/>
        <v>0</v>
      </c>
      <c r="M180" s="234">
        <f t="shared" si="13"/>
        <v>0</v>
      </c>
      <c r="O180" s="230"/>
      <c r="P180" s="231"/>
      <c r="Q180" s="232"/>
    </row>
    <row r="181" spans="4:17" ht="18" customHeight="1">
      <c r="D181" s="233">
        <v>2020</v>
      </c>
      <c r="E181" s="231">
        <v>12</v>
      </c>
      <c r="F181" s="231" t="s">
        <v>633</v>
      </c>
      <c r="G181" s="231" t="s">
        <v>1072</v>
      </c>
      <c r="H181" s="231" t="s">
        <v>1073</v>
      </c>
      <c r="I181" s="231">
        <v>3</v>
      </c>
      <c r="J181" s="231" t="s">
        <v>474</v>
      </c>
      <c r="K181" s="231">
        <f>SUMIF('CF.1'!$D:$D,CFS!G181,'CF.1'!$T:$T)</f>
        <v>0</v>
      </c>
      <c r="L181" s="231">
        <f t="shared" si="12"/>
        <v>0</v>
      </c>
      <c r="M181" s="234">
        <f t="shared" si="13"/>
        <v>0</v>
      </c>
      <c r="O181" s="230"/>
      <c r="P181" s="231"/>
      <c r="Q181" s="232"/>
    </row>
    <row r="182" spans="4:17" ht="18" customHeight="1">
      <c r="D182" s="233">
        <v>2020</v>
      </c>
      <c r="E182" s="231">
        <v>12</v>
      </c>
      <c r="F182" s="231" t="s">
        <v>633</v>
      </c>
      <c r="G182" s="231" t="s">
        <v>1074</v>
      </c>
      <c r="H182" s="231" t="s">
        <v>1075</v>
      </c>
      <c r="I182" s="231">
        <v>3</v>
      </c>
      <c r="J182" s="231" t="s">
        <v>474</v>
      </c>
      <c r="K182" s="231">
        <f>SUMIF('CF.1'!$D:$D,CFS!G182,'CF.1'!$T:$T)</f>
        <v>0</v>
      </c>
      <c r="L182" s="231">
        <f t="shared" si="12"/>
        <v>0</v>
      </c>
      <c r="M182" s="234">
        <f t="shared" si="13"/>
        <v>0</v>
      </c>
      <c r="O182" s="230"/>
      <c r="P182" s="231"/>
      <c r="Q182" s="232"/>
    </row>
    <row r="183" spans="4:17" ht="18" customHeight="1">
      <c r="D183" s="233">
        <v>2020</v>
      </c>
      <c r="E183" s="231">
        <v>12</v>
      </c>
      <c r="F183" s="231" t="s">
        <v>633</v>
      </c>
      <c r="G183" s="231" t="s">
        <v>1076</v>
      </c>
      <c r="H183" s="231" t="s">
        <v>1569</v>
      </c>
      <c r="I183" s="231">
        <v>3</v>
      </c>
      <c r="J183" s="231" t="s">
        <v>474</v>
      </c>
      <c r="K183" s="231">
        <f>SUMIF('CF.1'!$D:$D,CFS!G183,'CF.1'!$T:$T)</f>
        <v>2378200</v>
      </c>
      <c r="L183" s="231">
        <f t="shared" si="12"/>
        <v>2378200</v>
      </c>
      <c r="M183" s="234">
        <f t="shared" si="13"/>
        <v>0</v>
      </c>
      <c r="O183" s="230"/>
      <c r="P183" s="231"/>
      <c r="Q183" s="232"/>
    </row>
    <row r="184" spans="4:17" ht="18" customHeight="1">
      <c r="D184" s="233">
        <v>2020</v>
      </c>
      <c r="E184" s="231">
        <v>12</v>
      </c>
      <c r="F184" s="231" t="s">
        <v>633</v>
      </c>
      <c r="G184" s="231" t="s">
        <v>1077</v>
      </c>
      <c r="H184" s="231" t="s">
        <v>1078</v>
      </c>
      <c r="I184" s="231">
        <v>3</v>
      </c>
      <c r="J184" s="231" t="s">
        <v>474</v>
      </c>
      <c r="K184" s="231">
        <f>SUMIF('CF.1'!$D:$D,CFS!G184,'CF.1'!$T:$T)</f>
        <v>0</v>
      </c>
      <c r="L184" s="231">
        <f t="shared" si="12"/>
        <v>0</v>
      </c>
      <c r="M184" s="234">
        <f t="shared" si="13"/>
        <v>0</v>
      </c>
      <c r="O184" s="230"/>
      <c r="P184" s="231"/>
      <c r="Q184" s="232"/>
    </row>
    <row r="185" spans="4:17" ht="18" customHeight="1">
      <c r="D185" s="233">
        <v>2020</v>
      </c>
      <c r="E185" s="231">
        <v>12</v>
      </c>
      <c r="F185" s="231" t="s">
        <v>633</v>
      </c>
      <c r="G185" s="231" t="s">
        <v>1079</v>
      </c>
      <c r="H185" s="231" t="s">
        <v>1080</v>
      </c>
      <c r="I185" s="231">
        <v>3</v>
      </c>
      <c r="J185" s="231" t="s">
        <v>474</v>
      </c>
      <c r="K185" s="231">
        <f>SUMIF('CF.1'!$D:$D,CFS!G185,'CF.1'!$T:$T)</f>
        <v>0</v>
      </c>
      <c r="L185" s="231">
        <f t="shared" si="12"/>
        <v>0</v>
      </c>
      <c r="M185" s="234">
        <f t="shared" si="13"/>
        <v>0</v>
      </c>
      <c r="O185" s="230"/>
      <c r="P185" s="231"/>
      <c r="Q185" s="232"/>
    </row>
    <row r="186" spans="4:17" ht="18" customHeight="1">
      <c r="D186" s="233">
        <v>2020</v>
      </c>
      <c r="E186" s="231">
        <v>12</v>
      </c>
      <c r="F186" s="231" t="s">
        <v>633</v>
      </c>
      <c r="G186" s="231" t="s">
        <v>1081</v>
      </c>
      <c r="H186" s="231" t="s">
        <v>1082</v>
      </c>
      <c r="I186" s="231">
        <v>3</v>
      </c>
      <c r="J186" s="231" t="s">
        <v>474</v>
      </c>
      <c r="K186" s="231">
        <f>SUMIF('CF.1'!$D:$D,CFS!G186,'CF.1'!$T:$T)</f>
        <v>0</v>
      </c>
      <c r="L186" s="231">
        <f t="shared" si="12"/>
        <v>0</v>
      </c>
      <c r="M186" s="234">
        <f t="shared" si="13"/>
        <v>0</v>
      </c>
      <c r="O186" s="230"/>
      <c r="P186" s="231"/>
      <c r="Q186" s="232"/>
    </row>
    <row r="187" spans="4:17" ht="18" customHeight="1">
      <c r="D187" s="233">
        <v>2020</v>
      </c>
      <c r="E187" s="231">
        <v>12</v>
      </c>
      <c r="F187" s="231" t="s">
        <v>633</v>
      </c>
      <c r="G187" s="231" t="s">
        <v>1083</v>
      </c>
      <c r="H187" s="231" t="s">
        <v>1084</v>
      </c>
      <c r="I187" s="231">
        <v>3</v>
      </c>
      <c r="J187" s="231" t="s">
        <v>474</v>
      </c>
      <c r="K187" s="231">
        <f>SUMIF('CF.1'!$D:$D,CFS!G187,'CF.1'!$T:$T)</f>
        <v>0</v>
      </c>
      <c r="L187" s="231">
        <f t="shared" si="12"/>
        <v>0</v>
      </c>
      <c r="M187" s="234">
        <f t="shared" si="13"/>
        <v>0</v>
      </c>
      <c r="O187" s="230"/>
      <c r="P187" s="231"/>
      <c r="Q187" s="232"/>
    </row>
    <row r="188" spans="4:17" ht="18" customHeight="1">
      <c r="D188" s="233">
        <v>2020</v>
      </c>
      <c r="E188" s="231">
        <v>12</v>
      </c>
      <c r="F188" s="231" t="s">
        <v>633</v>
      </c>
      <c r="G188" s="231" t="s">
        <v>1085</v>
      </c>
      <c r="H188" s="231" t="s">
        <v>1086</v>
      </c>
      <c r="I188" s="231">
        <v>3</v>
      </c>
      <c r="J188" s="231" t="s">
        <v>474</v>
      </c>
      <c r="K188" s="231">
        <f>SUMIF('CF.1'!$D:$D,CFS!G188,'CF.1'!$T:$T)</f>
        <v>0</v>
      </c>
      <c r="L188" s="231">
        <f t="shared" si="12"/>
        <v>0</v>
      </c>
      <c r="M188" s="234">
        <f t="shared" si="13"/>
        <v>0</v>
      </c>
      <c r="O188" s="230"/>
      <c r="P188" s="231"/>
      <c r="Q188" s="232"/>
    </row>
    <row r="189" spans="4:17" ht="18" customHeight="1">
      <c r="D189" s="233">
        <v>2020</v>
      </c>
      <c r="E189" s="231">
        <v>12</v>
      </c>
      <c r="F189" s="231" t="s">
        <v>633</v>
      </c>
      <c r="G189" s="231" t="s">
        <v>1087</v>
      </c>
      <c r="H189" s="231" t="s">
        <v>1088</v>
      </c>
      <c r="I189" s="231">
        <v>3</v>
      </c>
      <c r="J189" s="231" t="s">
        <v>474</v>
      </c>
      <c r="K189" s="231">
        <f>SUMIF('CF.1'!$D:$D,CFS!G189,'CF.1'!$T:$T)</f>
        <v>0</v>
      </c>
      <c r="L189" s="231">
        <f t="shared" si="12"/>
        <v>0</v>
      </c>
      <c r="M189" s="234">
        <f t="shared" si="13"/>
        <v>0</v>
      </c>
      <c r="O189" s="230"/>
      <c r="P189" s="231"/>
      <c r="Q189" s="232"/>
    </row>
    <row r="190" spans="4:17" ht="18" customHeight="1">
      <c r="D190" s="233">
        <v>2020</v>
      </c>
      <c r="E190" s="231">
        <v>12</v>
      </c>
      <c r="F190" s="231" t="s">
        <v>633</v>
      </c>
      <c r="G190" s="231" t="s">
        <v>1089</v>
      </c>
      <c r="H190" s="231" t="s">
        <v>1090</v>
      </c>
      <c r="I190" s="231">
        <v>3</v>
      </c>
      <c r="J190" s="231" t="s">
        <v>474</v>
      </c>
      <c r="K190" s="231">
        <f>SUMIF('CF.1'!$D:$D,CFS!G190,'CF.1'!$T:$T)</f>
        <v>0</v>
      </c>
      <c r="L190" s="231">
        <f t="shared" si="12"/>
        <v>0</v>
      </c>
      <c r="M190" s="234">
        <f t="shared" si="13"/>
        <v>0</v>
      </c>
      <c r="O190" s="230"/>
      <c r="P190" s="231"/>
      <c r="Q190" s="232"/>
    </row>
    <row r="191" spans="4:17" ht="18" customHeight="1">
      <c r="D191" s="233">
        <v>2020</v>
      </c>
      <c r="E191" s="231">
        <v>12</v>
      </c>
      <c r="F191" s="231" t="s">
        <v>633</v>
      </c>
      <c r="G191" s="231" t="s">
        <v>1091</v>
      </c>
      <c r="H191" s="231" t="s">
        <v>1092</v>
      </c>
      <c r="I191" s="231">
        <v>3</v>
      </c>
      <c r="J191" s="231" t="s">
        <v>474</v>
      </c>
      <c r="K191" s="231">
        <f>SUMIF('CF.1'!$D:$D,CFS!G191,'CF.1'!$T:$T)</f>
        <v>0</v>
      </c>
      <c r="L191" s="231">
        <f t="shared" si="12"/>
        <v>0</v>
      </c>
      <c r="M191" s="234">
        <f t="shared" si="13"/>
        <v>0</v>
      </c>
      <c r="O191" s="230"/>
      <c r="P191" s="231"/>
      <c r="Q191" s="232"/>
    </row>
    <row r="192" spans="4:17" ht="18" customHeight="1">
      <c r="D192" s="233">
        <v>2020</v>
      </c>
      <c r="E192" s="231">
        <v>12</v>
      </c>
      <c r="F192" s="231" t="s">
        <v>633</v>
      </c>
      <c r="G192" s="231" t="s">
        <v>1093</v>
      </c>
      <c r="H192" s="231" t="s">
        <v>1094</v>
      </c>
      <c r="I192" s="231">
        <v>3</v>
      </c>
      <c r="J192" s="231" t="s">
        <v>474</v>
      </c>
      <c r="K192" s="231">
        <f>SUMIF('CF.1'!$D:$D,CFS!G192,'CF.1'!$T:$T)</f>
        <v>0</v>
      </c>
      <c r="L192" s="231">
        <f t="shared" si="12"/>
        <v>0</v>
      </c>
      <c r="M192" s="234">
        <f t="shared" si="13"/>
        <v>0</v>
      </c>
      <c r="O192" s="230"/>
      <c r="P192" s="231"/>
      <c r="Q192" s="232"/>
    </row>
    <row r="193" spans="4:17" ht="18" customHeight="1">
      <c r="D193" s="233">
        <v>2020</v>
      </c>
      <c r="E193" s="231">
        <v>12</v>
      </c>
      <c r="F193" s="231" t="s">
        <v>633</v>
      </c>
      <c r="G193" s="231" t="s">
        <v>1095</v>
      </c>
      <c r="H193" s="231" t="s">
        <v>1096</v>
      </c>
      <c r="I193" s="231">
        <v>3</v>
      </c>
      <c r="J193" s="231" t="s">
        <v>474</v>
      </c>
      <c r="K193" s="231">
        <f>SUMIF('CF.1'!$D:$D,CFS!G193,'CF.1'!$T:$T)</f>
        <v>0</v>
      </c>
      <c r="L193" s="231">
        <f t="shared" si="12"/>
        <v>0</v>
      </c>
      <c r="M193" s="234">
        <f t="shared" si="13"/>
        <v>0</v>
      </c>
      <c r="O193" s="230"/>
      <c r="P193" s="231"/>
      <c r="Q193" s="232"/>
    </row>
    <row r="194" spans="4:17" ht="18" customHeight="1">
      <c r="D194" s="233">
        <v>2020</v>
      </c>
      <c r="E194" s="231">
        <v>12</v>
      </c>
      <c r="F194" s="231" t="s">
        <v>633</v>
      </c>
      <c r="G194" s="231" t="s">
        <v>1097</v>
      </c>
      <c r="H194" s="231" t="s">
        <v>1098</v>
      </c>
      <c r="I194" s="231">
        <v>3</v>
      </c>
      <c r="J194" s="231" t="s">
        <v>474</v>
      </c>
      <c r="K194" s="231">
        <f>SUMIF('CF.1'!$D:$D,CFS!G194,'CF.1'!$T:$T)</f>
        <v>0</v>
      </c>
      <c r="L194" s="231">
        <f t="shared" si="12"/>
        <v>0</v>
      </c>
      <c r="M194" s="234">
        <f t="shared" si="13"/>
        <v>0</v>
      </c>
      <c r="O194" s="230"/>
      <c r="P194" s="231"/>
      <c r="Q194" s="232"/>
    </row>
    <row r="195" spans="4:17" ht="18" customHeight="1">
      <c r="D195" s="233">
        <v>2020</v>
      </c>
      <c r="E195" s="231">
        <v>12</v>
      </c>
      <c r="F195" s="231" t="s">
        <v>633</v>
      </c>
      <c r="G195" s="231" t="s">
        <v>1099</v>
      </c>
      <c r="H195" s="231" t="s">
        <v>1100</v>
      </c>
      <c r="I195" s="231">
        <v>3</v>
      </c>
      <c r="J195" s="231" t="s">
        <v>474</v>
      </c>
      <c r="K195" s="231">
        <f>SUMIF('CF.1'!$D:$D,CFS!G195,'CF.1'!$T:$T)</f>
        <v>0</v>
      </c>
      <c r="L195" s="231">
        <f t="shared" si="12"/>
        <v>0</v>
      </c>
      <c r="M195" s="234">
        <f t="shared" si="13"/>
        <v>0</v>
      </c>
      <c r="O195" s="230"/>
      <c r="P195" s="231"/>
      <c r="Q195" s="232"/>
    </row>
    <row r="196" spans="4:17" ht="18" customHeight="1">
      <c r="D196" s="233">
        <v>2020</v>
      </c>
      <c r="E196" s="231">
        <v>12</v>
      </c>
      <c r="F196" s="231" t="s">
        <v>633</v>
      </c>
      <c r="G196" s="231" t="s">
        <v>1101</v>
      </c>
      <c r="H196" s="231" t="s">
        <v>1102</v>
      </c>
      <c r="I196" s="231">
        <v>3</v>
      </c>
      <c r="J196" s="231" t="s">
        <v>474</v>
      </c>
      <c r="K196" s="231">
        <f>SUMIF('CF.1'!$D:$D,CFS!G196,'CF.1'!$T:$T)</f>
        <v>0</v>
      </c>
      <c r="L196" s="231">
        <f t="shared" si="12"/>
        <v>0</v>
      </c>
      <c r="M196" s="234">
        <f t="shared" si="13"/>
        <v>0</v>
      </c>
      <c r="O196" s="230"/>
      <c r="P196" s="231"/>
      <c r="Q196" s="232"/>
    </row>
    <row r="197" spans="4:17" ht="18" customHeight="1">
      <c r="D197" s="233">
        <v>2020</v>
      </c>
      <c r="E197" s="231">
        <v>12</v>
      </c>
      <c r="F197" s="231" t="s">
        <v>633</v>
      </c>
      <c r="G197" s="231" t="s">
        <v>1105</v>
      </c>
      <c r="H197" s="231" t="s">
        <v>1106</v>
      </c>
      <c r="I197" s="231">
        <v>3</v>
      </c>
      <c r="J197" s="231" t="s">
        <v>474</v>
      </c>
      <c r="K197" s="231">
        <f>SUMIF('CF.1'!$D:$D,CFS!G197,'CF.1'!$T:$T)</f>
        <v>0</v>
      </c>
      <c r="L197" s="231">
        <f t="shared" si="12"/>
        <v>0</v>
      </c>
      <c r="M197" s="234">
        <f t="shared" si="13"/>
        <v>0</v>
      </c>
      <c r="O197" s="230"/>
      <c r="P197" s="231"/>
      <c r="Q197" s="232"/>
    </row>
    <row r="198" spans="4:17" ht="18" customHeight="1">
      <c r="D198" s="233">
        <v>2020</v>
      </c>
      <c r="E198" s="231">
        <v>12</v>
      </c>
      <c r="F198" s="231" t="s">
        <v>633</v>
      </c>
      <c r="G198" s="231" t="s">
        <v>1107</v>
      </c>
      <c r="H198" s="231" t="s">
        <v>1108</v>
      </c>
      <c r="I198" s="231">
        <v>3</v>
      </c>
      <c r="J198" s="231" t="s">
        <v>474</v>
      </c>
      <c r="K198" s="231">
        <f>SUMIF('CF.1'!$D:$D,CFS!G198,'CF.1'!$T:$T)</f>
        <v>0</v>
      </c>
      <c r="L198" s="231">
        <f t="shared" si="12"/>
        <v>0</v>
      </c>
      <c r="M198" s="234">
        <f t="shared" si="13"/>
        <v>0</v>
      </c>
      <c r="O198" s="230"/>
      <c r="P198" s="231"/>
      <c r="Q198" s="232"/>
    </row>
    <row r="199" spans="4:17" ht="18" customHeight="1">
      <c r="D199" s="233">
        <v>2020</v>
      </c>
      <c r="E199" s="231">
        <v>12</v>
      </c>
      <c r="F199" s="231" t="s">
        <v>633</v>
      </c>
      <c r="G199" s="231" t="s">
        <v>1109</v>
      </c>
      <c r="H199" s="231" t="s">
        <v>1110</v>
      </c>
      <c r="I199" s="231">
        <v>3</v>
      </c>
      <c r="J199" s="231" t="s">
        <v>474</v>
      </c>
      <c r="K199" s="231">
        <f>SUMIF('CF.1'!$D:$D,CFS!G199,'CF.1'!$T:$T)</f>
        <v>0</v>
      </c>
      <c r="L199" s="231">
        <f t="shared" si="12"/>
        <v>0</v>
      </c>
      <c r="M199" s="234">
        <f t="shared" si="13"/>
        <v>0</v>
      </c>
      <c r="O199" s="230"/>
      <c r="P199" s="231"/>
      <c r="Q199" s="232"/>
    </row>
    <row r="200" spans="4:17" ht="18" customHeight="1">
      <c r="D200" s="233">
        <v>2020</v>
      </c>
      <c r="E200" s="231">
        <v>12</v>
      </c>
      <c r="F200" s="231" t="s">
        <v>633</v>
      </c>
      <c r="G200" s="231" t="s">
        <v>1111</v>
      </c>
      <c r="H200" s="231" t="s">
        <v>1112</v>
      </c>
      <c r="I200" s="231">
        <v>3</v>
      </c>
      <c r="J200" s="231" t="s">
        <v>474</v>
      </c>
      <c r="K200" s="231">
        <f>SUMIF('CF.1'!$D:$D,CFS!G200,'CF.1'!$T:$T)</f>
        <v>0</v>
      </c>
      <c r="L200" s="231">
        <f t="shared" si="12"/>
        <v>0</v>
      </c>
      <c r="M200" s="234">
        <f t="shared" si="13"/>
        <v>0</v>
      </c>
      <c r="O200" s="230"/>
      <c r="P200" s="231"/>
      <c r="Q200" s="232"/>
    </row>
    <row r="201" spans="4:17" ht="18" customHeight="1">
      <c r="D201" s="233">
        <v>2020</v>
      </c>
      <c r="E201" s="231">
        <v>12</v>
      </c>
      <c r="F201" s="231" t="s">
        <v>633</v>
      </c>
      <c r="G201" s="231" t="s">
        <v>1113</v>
      </c>
      <c r="H201" s="231" t="s">
        <v>1114</v>
      </c>
      <c r="I201" s="231">
        <v>3</v>
      </c>
      <c r="J201" s="231" t="s">
        <v>474</v>
      </c>
      <c r="K201" s="231">
        <f>SUMIF('CF.1'!$D:$D,CFS!G201,'CF.1'!$T:$T)</f>
        <v>0</v>
      </c>
      <c r="L201" s="231">
        <f t="shared" si="12"/>
        <v>0</v>
      </c>
      <c r="M201" s="234">
        <f t="shared" si="13"/>
        <v>0</v>
      </c>
      <c r="O201" s="230"/>
      <c r="P201" s="231"/>
      <c r="Q201" s="232"/>
    </row>
    <row r="202" spans="4:17" ht="18" customHeight="1">
      <c r="D202" s="233">
        <v>2020</v>
      </c>
      <c r="E202" s="231">
        <v>12</v>
      </c>
      <c r="F202" s="231" t="s">
        <v>633</v>
      </c>
      <c r="G202" s="231" t="s">
        <v>1115</v>
      </c>
      <c r="H202" s="231" t="s">
        <v>1116</v>
      </c>
      <c r="I202" s="231">
        <v>3</v>
      </c>
      <c r="J202" s="231" t="s">
        <v>474</v>
      </c>
      <c r="K202" s="231">
        <f>SUMIF('CF.1'!$D:$D,CFS!G202,'CF.1'!$T:$T)</f>
        <v>0</v>
      </c>
      <c r="L202" s="231">
        <f t="shared" si="12"/>
        <v>0</v>
      </c>
      <c r="M202" s="234">
        <f t="shared" si="13"/>
        <v>0</v>
      </c>
      <c r="O202" s="230"/>
      <c r="P202" s="231"/>
      <c r="Q202" s="232"/>
    </row>
    <row r="203" spans="4:17" ht="18" customHeight="1">
      <c r="D203" s="233">
        <v>2020</v>
      </c>
      <c r="E203" s="231">
        <v>12</v>
      </c>
      <c r="F203" s="231" t="s">
        <v>633</v>
      </c>
      <c r="G203" s="231" t="s">
        <v>1125</v>
      </c>
      <c r="H203" s="231" t="s">
        <v>1126</v>
      </c>
      <c r="I203" s="231">
        <v>3</v>
      </c>
      <c r="J203" s="231" t="s">
        <v>474</v>
      </c>
      <c r="K203" s="231">
        <f>SUMIF('CF.1'!$D:$D,CFS!G203,'CF.1'!$T:$T)</f>
        <v>0</v>
      </c>
      <c r="L203" s="231">
        <f t="shared" si="12"/>
        <v>0</v>
      </c>
      <c r="M203" s="234">
        <f t="shared" si="13"/>
        <v>0</v>
      </c>
      <c r="O203" s="230"/>
      <c r="P203" s="231"/>
      <c r="Q203" s="232"/>
    </row>
    <row r="204" spans="4:17" ht="18" customHeight="1">
      <c r="D204" s="227">
        <v>2020</v>
      </c>
      <c r="E204" s="228">
        <v>12</v>
      </c>
      <c r="F204" s="228" t="s">
        <v>633</v>
      </c>
      <c r="G204" s="228" t="s">
        <v>1127</v>
      </c>
      <c r="H204" s="228" t="s">
        <v>1128</v>
      </c>
      <c r="I204" s="228">
        <v>2</v>
      </c>
      <c r="J204" s="228" t="s">
        <v>474</v>
      </c>
      <c r="K204" s="228">
        <f>SUM(K205:K255)</f>
        <v>-4502983728</v>
      </c>
      <c r="L204" s="228">
        <f>SUM(L205:L255)</f>
        <v>-4502983728</v>
      </c>
      <c r="M204" s="229">
        <f>SUM(M205:M255)</f>
        <v>0</v>
      </c>
      <c r="O204" s="230"/>
      <c r="P204" s="231"/>
      <c r="Q204" s="232"/>
    </row>
    <row r="205" spans="4:17" ht="18" customHeight="1">
      <c r="D205" s="233">
        <v>2020</v>
      </c>
      <c r="E205" s="231">
        <v>12</v>
      </c>
      <c r="F205" s="231" t="s">
        <v>633</v>
      </c>
      <c r="G205" s="231" t="s">
        <v>1129</v>
      </c>
      <c r="H205" s="231" t="s">
        <v>1130</v>
      </c>
      <c r="I205" s="231">
        <v>3</v>
      </c>
      <c r="J205" s="231" t="s">
        <v>474</v>
      </c>
      <c r="K205" s="231">
        <f>SUMIF('CF.1'!$D:$D,CFS!G205,'CF.1'!$T:$T)</f>
        <v>0</v>
      </c>
      <c r="L205" s="231">
        <f t="shared" ref="L205:L255" si="14">K205</f>
        <v>0</v>
      </c>
      <c r="M205" s="234">
        <f t="shared" ref="M205:M255" si="15">L205-K205</f>
        <v>0</v>
      </c>
      <c r="O205" s="230"/>
      <c r="P205" s="231"/>
      <c r="Q205" s="232"/>
    </row>
    <row r="206" spans="4:17" ht="18" customHeight="1">
      <c r="D206" s="233">
        <v>2020</v>
      </c>
      <c r="E206" s="231">
        <v>12</v>
      </c>
      <c r="F206" s="231" t="s">
        <v>633</v>
      </c>
      <c r="G206" s="231" t="s">
        <v>1131</v>
      </c>
      <c r="H206" s="231" t="s">
        <v>1132</v>
      </c>
      <c r="I206" s="231">
        <v>3</v>
      </c>
      <c r="J206" s="231" t="s">
        <v>474</v>
      </c>
      <c r="K206" s="231">
        <f>SUMIF('CF.1'!$D:$D,CFS!G206,'CF.1'!$T:$T)</f>
        <v>0</v>
      </c>
      <c r="L206" s="231">
        <f t="shared" si="14"/>
        <v>0</v>
      </c>
      <c r="M206" s="234">
        <f t="shared" si="15"/>
        <v>0</v>
      </c>
      <c r="O206" s="230"/>
      <c r="P206" s="231"/>
      <c r="Q206" s="232"/>
    </row>
    <row r="207" spans="4:17" ht="18" customHeight="1">
      <c r="D207" s="233">
        <v>2020</v>
      </c>
      <c r="E207" s="231">
        <v>12</v>
      </c>
      <c r="F207" s="231" t="s">
        <v>633</v>
      </c>
      <c r="G207" s="231" t="s">
        <v>1133</v>
      </c>
      <c r="H207" s="231" t="s">
        <v>1134</v>
      </c>
      <c r="I207" s="231">
        <v>3</v>
      </c>
      <c r="J207" s="231" t="s">
        <v>474</v>
      </c>
      <c r="K207" s="231">
        <f>SUMIF('CF.1'!$D:$D,CFS!G207,'CF.1'!$T:$T)</f>
        <v>0</v>
      </c>
      <c r="L207" s="231">
        <f t="shared" si="14"/>
        <v>0</v>
      </c>
      <c r="M207" s="234">
        <f t="shared" si="15"/>
        <v>0</v>
      </c>
      <c r="O207" s="230"/>
      <c r="P207" s="231"/>
      <c r="Q207" s="232"/>
    </row>
    <row r="208" spans="4:17" ht="18" customHeight="1">
      <c r="D208" s="233">
        <v>2020</v>
      </c>
      <c r="E208" s="231">
        <v>12</v>
      </c>
      <c r="F208" s="231" t="s">
        <v>633</v>
      </c>
      <c r="G208" s="231" t="s">
        <v>1135</v>
      </c>
      <c r="H208" s="231" t="s">
        <v>1136</v>
      </c>
      <c r="I208" s="231">
        <v>3</v>
      </c>
      <c r="J208" s="231" t="s">
        <v>474</v>
      </c>
      <c r="K208" s="231">
        <f>SUMIF('CF.1'!$D:$D,CFS!G208,'CF.1'!$T:$T)</f>
        <v>0</v>
      </c>
      <c r="L208" s="231">
        <f t="shared" si="14"/>
        <v>0</v>
      </c>
      <c r="M208" s="234">
        <f t="shared" si="15"/>
        <v>0</v>
      </c>
      <c r="O208" s="230"/>
      <c r="P208" s="231"/>
      <c r="Q208" s="232"/>
    </row>
    <row r="209" spans="4:17" ht="18" customHeight="1">
      <c r="D209" s="233">
        <v>2020</v>
      </c>
      <c r="E209" s="231">
        <v>12</v>
      </c>
      <c r="F209" s="231" t="s">
        <v>633</v>
      </c>
      <c r="G209" s="231" t="s">
        <v>1137</v>
      </c>
      <c r="H209" s="231" t="s">
        <v>1138</v>
      </c>
      <c r="I209" s="231">
        <v>3</v>
      </c>
      <c r="J209" s="231" t="s">
        <v>474</v>
      </c>
      <c r="K209" s="231">
        <f>SUMIF('CF.1'!$D:$D,CFS!G209,'CF.1'!$T:$T)</f>
        <v>0</v>
      </c>
      <c r="L209" s="231">
        <f t="shared" si="14"/>
        <v>0</v>
      </c>
      <c r="M209" s="234">
        <f t="shared" si="15"/>
        <v>0</v>
      </c>
      <c r="O209" s="230"/>
      <c r="P209" s="231"/>
      <c r="Q209" s="232"/>
    </row>
    <row r="210" spans="4:17" ht="18" customHeight="1">
      <c r="D210" s="233">
        <v>2020</v>
      </c>
      <c r="E210" s="231">
        <v>12</v>
      </c>
      <c r="F210" s="231" t="s">
        <v>633</v>
      </c>
      <c r="G210" s="231" t="s">
        <v>1139</v>
      </c>
      <c r="H210" s="231" t="s">
        <v>1140</v>
      </c>
      <c r="I210" s="231">
        <v>3</v>
      </c>
      <c r="J210" s="231" t="s">
        <v>474</v>
      </c>
      <c r="K210" s="231">
        <f>SUMIF('CF.1'!$D:$D,CFS!G210,'CF.1'!$T:$T)</f>
        <v>0</v>
      </c>
      <c r="L210" s="231">
        <f t="shared" si="14"/>
        <v>0</v>
      </c>
      <c r="M210" s="234">
        <f t="shared" si="15"/>
        <v>0</v>
      </c>
      <c r="O210" s="230"/>
      <c r="P210" s="231"/>
      <c r="Q210" s="232"/>
    </row>
    <row r="211" spans="4:17" ht="18" customHeight="1">
      <c r="D211" s="233">
        <v>2020</v>
      </c>
      <c r="E211" s="231">
        <v>12</v>
      </c>
      <c r="F211" s="231" t="s">
        <v>633</v>
      </c>
      <c r="G211" s="231" t="s">
        <v>1141</v>
      </c>
      <c r="H211" s="231" t="s">
        <v>1142</v>
      </c>
      <c r="I211" s="231">
        <v>3</v>
      </c>
      <c r="J211" s="231" t="s">
        <v>474</v>
      </c>
      <c r="K211" s="231">
        <f>SUMIF('CF.1'!$D:$D,CFS!G211,'CF.1'!$T:$T)</f>
        <v>0</v>
      </c>
      <c r="L211" s="231">
        <f t="shared" si="14"/>
        <v>0</v>
      </c>
      <c r="M211" s="234">
        <f t="shared" si="15"/>
        <v>0</v>
      </c>
      <c r="O211" s="230"/>
      <c r="P211" s="231"/>
      <c r="Q211" s="232"/>
    </row>
    <row r="212" spans="4:17" ht="18" customHeight="1">
      <c r="D212" s="233">
        <v>2020</v>
      </c>
      <c r="E212" s="231">
        <v>12</v>
      </c>
      <c r="F212" s="231" t="s">
        <v>633</v>
      </c>
      <c r="G212" s="231" t="s">
        <v>1143</v>
      </c>
      <c r="H212" s="231" t="s">
        <v>1144</v>
      </c>
      <c r="I212" s="231">
        <v>3</v>
      </c>
      <c r="J212" s="231" t="s">
        <v>474</v>
      </c>
      <c r="K212" s="231">
        <f>SUMIF('CF.1'!$D:$D,CFS!G212,'CF.1'!$T:$T)</f>
        <v>-1499086000</v>
      </c>
      <c r="L212" s="231">
        <f t="shared" si="14"/>
        <v>-1499086000</v>
      </c>
      <c r="M212" s="234">
        <f t="shared" si="15"/>
        <v>0</v>
      </c>
      <c r="O212" s="230"/>
      <c r="P212" s="231"/>
      <c r="Q212" s="232"/>
    </row>
    <row r="213" spans="4:17" ht="18" customHeight="1">
      <c r="D213" s="233">
        <v>2020</v>
      </c>
      <c r="E213" s="231">
        <v>12</v>
      </c>
      <c r="F213" s="231" t="s">
        <v>633</v>
      </c>
      <c r="G213" s="231" t="s">
        <v>1145</v>
      </c>
      <c r="H213" s="231" t="s">
        <v>1146</v>
      </c>
      <c r="I213" s="231">
        <v>3</v>
      </c>
      <c r="J213" s="231" t="s">
        <v>474</v>
      </c>
      <c r="K213" s="231">
        <f>SUMIF('CF.1'!$D:$D,CFS!G213,'CF.1'!$T:$T)</f>
        <v>0</v>
      </c>
      <c r="L213" s="231">
        <f t="shared" si="14"/>
        <v>0</v>
      </c>
      <c r="M213" s="234">
        <f t="shared" si="15"/>
        <v>0</v>
      </c>
      <c r="O213" s="230"/>
      <c r="P213" s="231"/>
      <c r="Q213" s="232"/>
    </row>
    <row r="214" spans="4:17" ht="18" customHeight="1">
      <c r="D214" s="233">
        <v>2020</v>
      </c>
      <c r="E214" s="231">
        <v>12</v>
      </c>
      <c r="F214" s="231" t="s">
        <v>633</v>
      </c>
      <c r="G214" s="231" t="s">
        <v>1147</v>
      </c>
      <c r="H214" s="231" t="s">
        <v>1148</v>
      </c>
      <c r="I214" s="231">
        <v>3</v>
      </c>
      <c r="J214" s="231" t="s">
        <v>474</v>
      </c>
      <c r="K214" s="231">
        <f>SUMIF('CF.1'!$D:$D,CFS!G214,'CF.1'!$T:$T)</f>
        <v>0</v>
      </c>
      <c r="L214" s="231">
        <f t="shared" si="14"/>
        <v>0</v>
      </c>
      <c r="M214" s="234">
        <f t="shared" si="15"/>
        <v>0</v>
      </c>
      <c r="O214" s="230"/>
      <c r="P214" s="231"/>
      <c r="Q214" s="232"/>
    </row>
    <row r="215" spans="4:17" ht="18" customHeight="1">
      <c r="D215" s="233">
        <v>2020</v>
      </c>
      <c r="E215" s="231">
        <v>12</v>
      </c>
      <c r="F215" s="231" t="s">
        <v>633</v>
      </c>
      <c r="G215" s="231" t="s">
        <v>1149</v>
      </c>
      <c r="H215" s="231" t="s">
        <v>1150</v>
      </c>
      <c r="I215" s="231">
        <v>3</v>
      </c>
      <c r="J215" s="231" t="s">
        <v>474</v>
      </c>
      <c r="K215" s="231">
        <f>SUMIF('CF.1'!$D:$D,CFS!G215,'CF.1'!$T:$T)</f>
        <v>0</v>
      </c>
      <c r="L215" s="231">
        <f t="shared" si="14"/>
        <v>0</v>
      </c>
      <c r="M215" s="234">
        <f t="shared" si="15"/>
        <v>0</v>
      </c>
      <c r="O215" s="230"/>
      <c r="P215" s="231"/>
      <c r="Q215" s="232"/>
    </row>
    <row r="216" spans="4:17" ht="18" customHeight="1">
      <c r="D216" s="233">
        <v>2020</v>
      </c>
      <c r="E216" s="231">
        <v>12</v>
      </c>
      <c r="F216" s="231" t="s">
        <v>633</v>
      </c>
      <c r="G216" s="231" t="s">
        <v>1570</v>
      </c>
      <c r="H216" s="231" t="s">
        <v>1152</v>
      </c>
      <c r="I216" s="231">
        <v>3</v>
      </c>
      <c r="J216" s="231" t="s">
        <v>474</v>
      </c>
      <c r="K216" s="231">
        <f>SUMIF('CF.1'!$D:$D,CFS!G216,'CF.1'!$T:$T)</f>
        <v>0</v>
      </c>
      <c r="L216" s="231">
        <f t="shared" si="14"/>
        <v>0</v>
      </c>
      <c r="M216" s="234">
        <f t="shared" si="15"/>
        <v>0</v>
      </c>
      <c r="O216" s="230"/>
      <c r="P216" s="231"/>
      <c r="Q216" s="232"/>
    </row>
    <row r="217" spans="4:17" ht="18" customHeight="1">
      <c r="D217" s="233">
        <v>2020</v>
      </c>
      <c r="E217" s="231">
        <v>12</v>
      </c>
      <c r="F217" s="231" t="s">
        <v>633</v>
      </c>
      <c r="G217" s="231" t="s">
        <v>1571</v>
      </c>
      <c r="H217" s="231" t="s">
        <v>1572</v>
      </c>
      <c r="I217" s="231">
        <v>3</v>
      </c>
      <c r="J217" s="231" t="s">
        <v>474</v>
      </c>
      <c r="K217" s="231">
        <f>SUMIF('CF.1'!$D:$D,CFS!G217,'CF.1'!$T:$T)</f>
        <v>0</v>
      </c>
      <c r="L217" s="231">
        <f t="shared" si="14"/>
        <v>0</v>
      </c>
      <c r="M217" s="234">
        <f t="shared" si="15"/>
        <v>0</v>
      </c>
      <c r="O217" s="230"/>
      <c r="P217" s="231"/>
      <c r="Q217" s="232"/>
    </row>
    <row r="218" spans="4:17" ht="18" customHeight="1">
      <c r="D218" s="233">
        <v>2020</v>
      </c>
      <c r="E218" s="231">
        <v>12</v>
      </c>
      <c r="F218" s="231" t="s">
        <v>633</v>
      </c>
      <c r="G218" s="231" t="s">
        <v>1153</v>
      </c>
      <c r="H218" s="231" t="s">
        <v>1154</v>
      </c>
      <c r="I218" s="231">
        <v>3</v>
      </c>
      <c r="J218" s="231" t="s">
        <v>474</v>
      </c>
      <c r="K218" s="231">
        <f>SUMIF('CF.1'!$D:$D,CFS!G218,'CF.1'!$T:$T)</f>
        <v>0</v>
      </c>
      <c r="L218" s="231">
        <f t="shared" si="14"/>
        <v>0</v>
      </c>
      <c r="M218" s="234">
        <f t="shared" si="15"/>
        <v>0</v>
      </c>
      <c r="O218" s="230"/>
      <c r="P218" s="231"/>
      <c r="Q218" s="232"/>
    </row>
    <row r="219" spans="4:17" ht="18" customHeight="1">
      <c r="D219" s="233">
        <v>2020</v>
      </c>
      <c r="E219" s="231">
        <v>12</v>
      </c>
      <c r="F219" s="231" t="s">
        <v>633</v>
      </c>
      <c r="G219" s="231" t="s">
        <v>1155</v>
      </c>
      <c r="H219" s="231" t="s">
        <v>1573</v>
      </c>
      <c r="I219" s="231">
        <v>3</v>
      </c>
      <c r="J219" s="231" t="s">
        <v>474</v>
      </c>
      <c r="K219" s="231">
        <f>SUMIF('CF.1'!$D:$D,CFS!G219,'CF.1'!$T:$T)</f>
        <v>0</v>
      </c>
      <c r="L219" s="231">
        <f t="shared" si="14"/>
        <v>0</v>
      </c>
      <c r="M219" s="234">
        <f t="shared" si="15"/>
        <v>0</v>
      </c>
      <c r="O219" s="230"/>
      <c r="P219" s="231"/>
      <c r="Q219" s="232"/>
    </row>
    <row r="220" spans="4:17" ht="18" customHeight="1">
      <c r="D220" s="233">
        <v>2020</v>
      </c>
      <c r="E220" s="231">
        <v>12</v>
      </c>
      <c r="F220" s="231" t="s">
        <v>633</v>
      </c>
      <c r="G220" s="231" t="s">
        <v>1157</v>
      </c>
      <c r="H220" s="231" t="s">
        <v>1158</v>
      </c>
      <c r="I220" s="231">
        <v>3</v>
      </c>
      <c r="J220" s="231" t="s">
        <v>474</v>
      </c>
      <c r="K220" s="231">
        <f>SUMIF('CF.1'!$D:$D,CFS!G220,'CF.1'!$T:$T)</f>
        <v>0</v>
      </c>
      <c r="L220" s="231">
        <f t="shared" si="14"/>
        <v>0</v>
      </c>
      <c r="M220" s="234">
        <f t="shared" si="15"/>
        <v>0</v>
      </c>
      <c r="O220" s="230"/>
      <c r="P220" s="231"/>
      <c r="Q220" s="232"/>
    </row>
    <row r="221" spans="4:17" ht="18" customHeight="1">
      <c r="D221" s="233">
        <v>2020</v>
      </c>
      <c r="E221" s="231">
        <v>12</v>
      </c>
      <c r="F221" s="231" t="s">
        <v>633</v>
      </c>
      <c r="G221" s="231" t="s">
        <v>1159</v>
      </c>
      <c r="H221" s="231" t="s">
        <v>1160</v>
      </c>
      <c r="I221" s="231">
        <v>3</v>
      </c>
      <c r="J221" s="231" t="s">
        <v>474</v>
      </c>
      <c r="K221" s="231">
        <f>SUMIF('CF.1'!$D:$D,CFS!G221,'CF.1'!$T:$T)</f>
        <v>0</v>
      </c>
      <c r="L221" s="231">
        <f t="shared" si="14"/>
        <v>0</v>
      </c>
      <c r="M221" s="234">
        <f t="shared" si="15"/>
        <v>0</v>
      </c>
      <c r="O221" s="230"/>
      <c r="P221" s="231"/>
      <c r="Q221" s="232"/>
    </row>
    <row r="222" spans="4:17" ht="18" customHeight="1">
      <c r="D222" s="233">
        <v>2020</v>
      </c>
      <c r="E222" s="231">
        <v>12</v>
      </c>
      <c r="F222" s="231" t="s">
        <v>633</v>
      </c>
      <c r="G222" s="231" t="s">
        <v>1161</v>
      </c>
      <c r="H222" s="231" t="s">
        <v>1162</v>
      </c>
      <c r="I222" s="231">
        <v>3</v>
      </c>
      <c r="J222" s="231" t="s">
        <v>474</v>
      </c>
      <c r="K222" s="231">
        <f>SUMIF('CF.1'!$D:$D,CFS!G222,'CF.1'!$T:$T)</f>
        <v>0</v>
      </c>
      <c r="L222" s="231">
        <f t="shared" si="14"/>
        <v>0</v>
      </c>
      <c r="M222" s="234">
        <f t="shared" si="15"/>
        <v>0</v>
      </c>
      <c r="O222" s="230"/>
      <c r="P222" s="231"/>
      <c r="Q222" s="232"/>
    </row>
    <row r="223" spans="4:17" ht="18" customHeight="1">
      <c r="D223" s="233">
        <v>2020</v>
      </c>
      <c r="E223" s="231">
        <v>12</v>
      </c>
      <c r="F223" s="231" t="s">
        <v>633</v>
      </c>
      <c r="G223" s="231" t="s">
        <v>1163</v>
      </c>
      <c r="H223" s="231" t="s">
        <v>1164</v>
      </c>
      <c r="I223" s="231">
        <v>3</v>
      </c>
      <c r="J223" s="231" t="s">
        <v>474</v>
      </c>
      <c r="K223" s="231">
        <f>SUMIF('CF.1'!$D:$D,CFS!G223,'CF.1'!$T:$T)</f>
        <v>0</v>
      </c>
      <c r="L223" s="231">
        <f t="shared" si="14"/>
        <v>0</v>
      </c>
      <c r="M223" s="234">
        <f t="shared" si="15"/>
        <v>0</v>
      </c>
      <c r="O223" s="230"/>
      <c r="P223" s="231"/>
      <c r="Q223" s="232"/>
    </row>
    <row r="224" spans="4:17" ht="18" customHeight="1">
      <c r="D224" s="233">
        <v>2020</v>
      </c>
      <c r="E224" s="231">
        <v>12</v>
      </c>
      <c r="F224" s="231" t="s">
        <v>633</v>
      </c>
      <c r="G224" s="231" t="s">
        <v>1165</v>
      </c>
      <c r="H224" s="231" t="s">
        <v>1166</v>
      </c>
      <c r="I224" s="231">
        <v>3</v>
      </c>
      <c r="J224" s="231" t="s">
        <v>474</v>
      </c>
      <c r="K224" s="231">
        <f>SUMIF('CF.1'!$D:$D,CFS!G224,'CF.1'!$T:$T)</f>
        <v>0</v>
      </c>
      <c r="L224" s="231">
        <f t="shared" si="14"/>
        <v>0</v>
      </c>
      <c r="M224" s="234">
        <f t="shared" si="15"/>
        <v>0</v>
      </c>
      <c r="O224" s="230"/>
      <c r="P224" s="231"/>
      <c r="Q224" s="232"/>
    </row>
    <row r="225" spans="4:17" ht="18" customHeight="1">
      <c r="D225" s="233">
        <v>2020</v>
      </c>
      <c r="E225" s="231">
        <v>12</v>
      </c>
      <c r="F225" s="231" t="s">
        <v>633</v>
      </c>
      <c r="G225" s="231" t="s">
        <v>1167</v>
      </c>
      <c r="H225" s="231" t="s">
        <v>1168</v>
      </c>
      <c r="I225" s="231">
        <v>3</v>
      </c>
      <c r="J225" s="231" t="s">
        <v>474</v>
      </c>
      <c r="K225" s="231">
        <f>SUMIF('CF.1'!$D:$D,CFS!G225,'CF.1'!$T:$T)</f>
        <v>0</v>
      </c>
      <c r="L225" s="231">
        <f t="shared" si="14"/>
        <v>0</v>
      </c>
      <c r="M225" s="234">
        <f t="shared" si="15"/>
        <v>0</v>
      </c>
      <c r="O225" s="230"/>
      <c r="P225" s="231"/>
      <c r="Q225" s="232"/>
    </row>
    <row r="226" spans="4:17" ht="18" customHeight="1">
      <c r="D226" s="233">
        <v>2020</v>
      </c>
      <c r="E226" s="231">
        <v>12</v>
      </c>
      <c r="F226" s="231" t="s">
        <v>633</v>
      </c>
      <c r="G226" s="231" t="s">
        <v>1169</v>
      </c>
      <c r="H226" s="231" t="s">
        <v>1170</v>
      </c>
      <c r="I226" s="231">
        <v>3</v>
      </c>
      <c r="J226" s="231" t="s">
        <v>474</v>
      </c>
      <c r="K226" s="231">
        <f>SUMIF('CF.1'!$D:$D,CFS!G226,'CF.1'!$T:$T)</f>
        <v>0</v>
      </c>
      <c r="L226" s="231">
        <f t="shared" si="14"/>
        <v>0</v>
      </c>
      <c r="M226" s="234">
        <f t="shared" si="15"/>
        <v>0</v>
      </c>
      <c r="O226" s="230"/>
      <c r="P226" s="231"/>
      <c r="Q226" s="232"/>
    </row>
    <row r="227" spans="4:17" ht="18" customHeight="1">
      <c r="D227" s="233">
        <v>2020</v>
      </c>
      <c r="E227" s="231">
        <v>12</v>
      </c>
      <c r="F227" s="231" t="s">
        <v>633</v>
      </c>
      <c r="G227" s="231" t="s">
        <v>1171</v>
      </c>
      <c r="H227" s="231" t="s">
        <v>1172</v>
      </c>
      <c r="I227" s="231">
        <v>3</v>
      </c>
      <c r="J227" s="231" t="s">
        <v>474</v>
      </c>
      <c r="K227" s="231">
        <f>SUMIF('CF.1'!$D:$D,CFS!G227,'CF.1'!$T:$T)</f>
        <v>0</v>
      </c>
      <c r="L227" s="231">
        <f t="shared" si="14"/>
        <v>0</v>
      </c>
      <c r="M227" s="234">
        <f t="shared" si="15"/>
        <v>0</v>
      </c>
      <c r="O227" s="230"/>
      <c r="P227" s="231"/>
      <c r="Q227" s="232"/>
    </row>
    <row r="228" spans="4:17" ht="18" customHeight="1">
      <c r="D228" s="233">
        <v>2020</v>
      </c>
      <c r="E228" s="231">
        <v>12</v>
      </c>
      <c r="F228" s="231" t="s">
        <v>633</v>
      </c>
      <c r="G228" s="231" t="s">
        <v>1173</v>
      </c>
      <c r="H228" s="231" t="s">
        <v>1174</v>
      </c>
      <c r="I228" s="231">
        <v>3</v>
      </c>
      <c r="J228" s="231" t="s">
        <v>474</v>
      </c>
      <c r="K228" s="231">
        <f>SUMIF('CF.1'!$D:$D,CFS!G228,'CF.1'!$T:$T)</f>
        <v>0</v>
      </c>
      <c r="L228" s="231">
        <f t="shared" si="14"/>
        <v>0</v>
      </c>
      <c r="M228" s="234">
        <f t="shared" si="15"/>
        <v>0</v>
      </c>
      <c r="O228" s="230"/>
      <c r="P228" s="231"/>
      <c r="Q228" s="232"/>
    </row>
    <row r="229" spans="4:17" ht="18" customHeight="1">
      <c r="D229" s="233">
        <v>2020</v>
      </c>
      <c r="E229" s="231">
        <v>12</v>
      </c>
      <c r="F229" s="231" t="s">
        <v>633</v>
      </c>
      <c r="G229" s="231" t="s">
        <v>1175</v>
      </c>
      <c r="H229" s="231" t="s">
        <v>1176</v>
      </c>
      <c r="I229" s="231">
        <v>3</v>
      </c>
      <c r="J229" s="231" t="s">
        <v>474</v>
      </c>
      <c r="K229" s="231">
        <f>SUMIF('CF.1'!$D:$D,CFS!G229,'CF.1'!$T:$T)</f>
        <v>0</v>
      </c>
      <c r="L229" s="231">
        <f t="shared" si="14"/>
        <v>0</v>
      </c>
      <c r="M229" s="234">
        <f t="shared" si="15"/>
        <v>0</v>
      </c>
      <c r="O229" s="230"/>
      <c r="P229" s="231"/>
      <c r="Q229" s="232"/>
    </row>
    <row r="230" spans="4:17" ht="18" customHeight="1">
      <c r="D230" s="233">
        <v>2020</v>
      </c>
      <c r="E230" s="231">
        <v>12</v>
      </c>
      <c r="F230" s="231" t="s">
        <v>633</v>
      </c>
      <c r="G230" s="231" t="s">
        <v>1177</v>
      </c>
      <c r="H230" s="231" t="s">
        <v>1178</v>
      </c>
      <c r="I230" s="231">
        <v>3</v>
      </c>
      <c r="J230" s="231" t="s">
        <v>474</v>
      </c>
      <c r="K230" s="231">
        <f>SUMIF('CF.1'!$D:$D,CFS!G230,'CF.1'!$T:$T)</f>
        <v>0</v>
      </c>
      <c r="L230" s="231">
        <f t="shared" si="14"/>
        <v>0</v>
      </c>
      <c r="M230" s="234">
        <f t="shared" si="15"/>
        <v>0</v>
      </c>
      <c r="O230" s="230"/>
      <c r="P230" s="231"/>
      <c r="Q230" s="232"/>
    </row>
    <row r="231" spans="4:17" ht="18" customHeight="1">
      <c r="D231" s="233">
        <v>2020</v>
      </c>
      <c r="E231" s="231">
        <v>12</v>
      </c>
      <c r="F231" s="231" t="s">
        <v>633</v>
      </c>
      <c r="G231" s="231" t="s">
        <v>1179</v>
      </c>
      <c r="H231" s="231" t="s">
        <v>1180</v>
      </c>
      <c r="I231" s="231">
        <v>3</v>
      </c>
      <c r="J231" s="231" t="s">
        <v>474</v>
      </c>
      <c r="K231" s="231">
        <f>SUMIF('CF.1'!$D:$D,CFS!G231,'CF.1'!$T:$T)</f>
        <v>0</v>
      </c>
      <c r="L231" s="231">
        <f t="shared" si="14"/>
        <v>0</v>
      </c>
      <c r="M231" s="234">
        <f t="shared" si="15"/>
        <v>0</v>
      </c>
      <c r="O231" s="230"/>
      <c r="P231" s="231"/>
      <c r="Q231" s="232"/>
    </row>
    <row r="232" spans="4:17" ht="18" customHeight="1">
      <c r="D232" s="233">
        <v>2020</v>
      </c>
      <c r="E232" s="231">
        <v>12</v>
      </c>
      <c r="F232" s="231" t="s">
        <v>633</v>
      </c>
      <c r="G232" s="231" t="s">
        <v>1181</v>
      </c>
      <c r="H232" s="231" t="s">
        <v>1182</v>
      </c>
      <c r="I232" s="231">
        <v>3</v>
      </c>
      <c r="J232" s="231" t="s">
        <v>474</v>
      </c>
      <c r="K232" s="231">
        <f>SUMIF('CF.1'!$D:$D,CFS!G232,'CF.1'!$T:$T)</f>
        <v>0</v>
      </c>
      <c r="L232" s="231">
        <f t="shared" si="14"/>
        <v>0</v>
      </c>
      <c r="M232" s="234">
        <f t="shared" si="15"/>
        <v>0</v>
      </c>
      <c r="O232" s="230"/>
      <c r="P232" s="231"/>
      <c r="Q232" s="232"/>
    </row>
    <row r="233" spans="4:17" ht="18" customHeight="1">
      <c r="D233" s="233">
        <v>2020</v>
      </c>
      <c r="E233" s="231">
        <v>12</v>
      </c>
      <c r="F233" s="231" t="s">
        <v>633</v>
      </c>
      <c r="G233" s="231" t="s">
        <v>1183</v>
      </c>
      <c r="H233" s="231" t="s">
        <v>1184</v>
      </c>
      <c r="I233" s="231">
        <v>3</v>
      </c>
      <c r="J233" s="231" t="s">
        <v>474</v>
      </c>
      <c r="K233" s="231">
        <f>SUMIF('CF.1'!$D:$D,CFS!G233,'CF.1'!$T:$T)</f>
        <v>0</v>
      </c>
      <c r="L233" s="231">
        <f t="shared" si="14"/>
        <v>0</v>
      </c>
      <c r="M233" s="234">
        <f t="shared" si="15"/>
        <v>0</v>
      </c>
      <c r="O233" s="230"/>
      <c r="P233" s="231"/>
      <c r="Q233" s="232"/>
    </row>
    <row r="234" spans="4:17" ht="18" customHeight="1">
      <c r="D234" s="233">
        <v>2020</v>
      </c>
      <c r="E234" s="231">
        <v>12</v>
      </c>
      <c r="F234" s="231" t="s">
        <v>633</v>
      </c>
      <c r="G234" s="231" t="s">
        <v>1185</v>
      </c>
      <c r="H234" s="231" t="s">
        <v>1574</v>
      </c>
      <c r="I234" s="231">
        <v>3</v>
      </c>
      <c r="J234" s="231" t="s">
        <v>474</v>
      </c>
      <c r="K234" s="231">
        <f>SUMIF('CF.1'!$D:$D,CFS!G234,'CF.1'!$T:$T)</f>
        <v>-653965199</v>
      </c>
      <c r="L234" s="231">
        <f t="shared" si="14"/>
        <v>-653965199</v>
      </c>
      <c r="M234" s="234">
        <f t="shared" si="15"/>
        <v>0</v>
      </c>
      <c r="O234" s="230"/>
      <c r="P234" s="231"/>
      <c r="Q234" s="232"/>
    </row>
    <row r="235" spans="4:17" ht="18" customHeight="1">
      <c r="D235" s="233">
        <v>2020</v>
      </c>
      <c r="E235" s="231">
        <v>12</v>
      </c>
      <c r="F235" s="231" t="s">
        <v>633</v>
      </c>
      <c r="G235" s="231" t="s">
        <v>1186</v>
      </c>
      <c r="H235" s="231" t="s">
        <v>1187</v>
      </c>
      <c r="I235" s="231">
        <v>3</v>
      </c>
      <c r="J235" s="231" t="s">
        <v>474</v>
      </c>
      <c r="K235" s="231">
        <f>SUMIF('CF.1'!$D:$D,CFS!G235,'CF.1'!$T:$T)</f>
        <v>0</v>
      </c>
      <c r="L235" s="231">
        <f t="shared" si="14"/>
        <v>0</v>
      </c>
      <c r="M235" s="234">
        <f t="shared" si="15"/>
        <v>0</v>
      </c>
      <c r="O235" s="230"/>
      <c r="P235" s="231"/>
      <c r="Q235" s="232"/>
    </row>
    <row r="236" spans="4:17" ht="18" customHeight="1">
      <c r="D236" s="233">
        <v>2020</v>
      </c>
      <c r="E236" s="231">
        <v>12</v>
      </c>
      <c r="F236" s="231" t="s">
        <v>633</v>
      </c>
      <c r="G236" s="231" t="s">
        <v>1188</v>
      </c>
      <c r="H236" s="231" t="s">
        <v>1189</v>
      </c>
      <c r="I236" s="231">
        <v>3</v>
      </c>
      <c r="J236" s="231" t="s">
        <v>474</v>
      </c>
      <c r="K236" s="231">
        <f>SUMIF('CF.1'!$D:$D,CFS!G236,'CF.1'!$T:$T)</f>
        <v>0</v>
      </c>
      <c r="L236" s="231">
        <f t="shared" si="14"/>
        <v>0</v>
      </c>
      <c r="M236" s="234">
        <f t="shared" si="15"/>
        <v>0</v>
      </c>
      <c r="O236" s="230"/>
      <c r="P236" s="231"/>
      <c r="Q236" s="232"/>
    </row>
    <row r="237" spans="4:17" ht="18" customHeight="1">
      <c r="D237" s="233">
        <v>2020</v>
      </c>
      <c r="E237" s="231">
        <v>12</v>
      </c>
      <c r="F237" s="231" t="s">
        <v>633</v>
      </c>
      <c r="G237" s="231" t="s">
        <v>1190</v>
      </c>
      <c r="H237" s="231" t="s">
        <v>1191</v>
      </c>
      <c r="I237" s="231">
        <v>3</v>
      </c>
      <c r="J237" s="231" t="s">
        <v>474</v>
      </c>
      <c r="K237" s="231">
        <f>SUMIF('CF.1'!$D:$D,CFS!G237,'CF.1'!$T:$T)</f>
        <v>-376907453</v>
      </c>
      <c r="L237" s="231">
        <f t="shared" si="14"/>
        <v>-376907453</v>
      </c>
      <c r="M237" s="234">
        <f t="shared" si="15"/>
        <v>0</v>
      </c>
      <c r="O237" s="230"/>
      <c r="P237" s="231"/>
      <c r="Q237" s="232"/>
    </row>
    <row r="238" spans="4:17" ht="18" customHeight="1">
      <c r="D238" s="233">
        <v>2020</v>
      </c>
      <c r="E238" s="231">
        <v>12</v>
      </c>
      <c r="F238" s="231" t="s">
        <v>633</v>
      </c>
      <c r="G238" s="231" t="s">
        <v>1192</v>
      </c>
      <c r="H238" s="231" t="s">
        <v>1193</v>
      </c>
      <c r="I238" s="231">
        <v>3</v>
      </c>
      <c r="J238" s="231" t="s">
        <v>474</v>
      </c>
      <c r="K238" s="231">
        <f>SUMIF('CF.1'!$D:$D,CFS!G238,'CF.1'!$T:$T)</f>
        <v>0</v>
      </c>
      <c r="L238" s="231">
        <f t="shared" si="14"/>
        <v>0</v>
      </c>
      <c r="M238" s="234">
        <f t="shared" si="15"/>
        <v>0</v>
      </c>
      <c r="O238" s="230"/>
      <c r="P238" s="231"/>
      <c r="Q238" s="232"/>
    </row>
    <row r="239" spans="4:17" ht="18" customHeight="1">
      <c r="D239" s="233">
        <v>2020</v>
      </c>
      <c r="E239" s="231">
        <v>12</v>
      </c>
      <c r="F239" s="231" t="s">
        <v>633</v>
      </c>
      <c r="G239" s="231" t="s">
        <v>1194</v>
      </c>
      <c r="H239" s="231" t="s">
        <v>1195</v>
      </c>
      <c r="I239" s="231">
        <v>3</v>
      </c>
      <c r="J239" s="231" t="s">
        <v>474</v>
      </c>
      <c r="K239" s="231">
        <f>SUMIF('CF.1'!$D:$D,CFS!G239,'CF.1'!$T:$T)</f>
        <v>-690531431</v>
      </c>
      <c r="L239" s="231">
        <f t="shared" si="14"/>
        <v>-690531431</v>
      </c>
      <c r="M239" s="234">
        <f t="shared" si="15"/>
        <v>0</v>
      </c>
      <c r="O239" s="230"/>
      <c r="P239" s="231"/>
      <c r="Q239" s="232"/>
    </row>
    <row r="240" spans="4:17" ht="18" customHeight="1">
      <c r="D240" s="233">
        <v>2020</v>
      </c>
      <c r="E240" s="231">
        <v>12</v>
      </c>
      <c r="F240" s="231" t="s">
        <v>633</v>
      </c>
      <c r="G240" s="231" t="s">
        <v>1196</v>
      </c>
      <c r="H240" s="231" t="s">
        <v>1197</v>
      </c>
      <c r="I240" s="231">
        <v>3</v>
      </c>
      <c r="J240" s="231" t="s">
        <v>474</v>
      </c>
      <c r="K240" s="231">
        <f>SUMIF('CF.1'!$D:$D,CFS!G240,'CF.1'!$T:$T)</f>
        <v>0</v>
      </c>
      <c r="L240" s="231">
        <f t="shared" si="14"/>
        <v>0</v>
      </c>
      <c r="M240" s="234">
        <f t="shared" si="15"/>
        <v>0</v>
      </c>
      <c r="O240" s="230"/>
      <c r="P240" s="231"/>
      <c r="Q240" s="232"/>
    </row>
    <row r="241" spans="4:17" ht="18" customHeight="1">
      <c r="D241" s="233">
        <v>2020</v>
      </c>
      <c r="E241" s="231">
        <v>12</v>
      </c>
      <c r="F241" s="231" t="s">
        <v>633</v>
      </c>
      <c r="G241" s="231" t="s">
        <v>1198</v>
      </c>
      <c r="H241" s="231" t="s">
        <v>1199</v>
      </c>
      <c r="I241" s="231">
        <v>3</v>
      </c>
      <c r="J241" s="231" t="s">
        <v>474</v>
      </c>
      <c r="K241" s="231">
        <f>SUMIF('CF.1'!$D:$D,CFS!G241,'CF.1'!$T:$T)</f>
        <v>0</v>
      </c>
      <c r="L241" s="231">
        <f t="shared" si="14"/>
        <v>0</v>
      </c>
      <c r="M241" s="234">
        <f t="shared" si="15"/>
        <v>0</v>
      </c>
      <c r="O241" s="230"/>
      <c r="P241" s="231"/>
      <c r="Q241" s="232"/>
    </row>
    <row r="242" spans="4:17" ht="18" customHeight="1">
      <c r="D242" s="233">
        <v>2020</v>
      </c>
      <c r="E242" s="231">
        <v>12</v>
      </c>
      <c r="F242" s="231" t="s">
        <v>633</v>
      </c>
      <c r="G242" s="231" t="s">
        <v>1200</v>
      </c>
      <c r="H242" s="231" t="s">
        <v>1201</v>
      </c>
      <c r="I242" s="231">
        <v>3</v>
      </c>
      <c r="J242" s="231" t="s">
        <v>474</v>
      </c>
      <c r="K242" s="231">
        <f>SUMIF('CF.1'!$D:$D,CFS!G242,'CF.1'!$T:$T)</f>
        <v>0</v>
      </c>
      <c r="L242" s="231">
        <f t="shared" si="14"/>
        <v>0</v>
      </c>
      <c r="M242" s="234">
        <f t="shared" si="15"/>
        <v>0</v>
      </c>
      <c r="O242" s="230"/>
      <c r="P242" s="231"/>
      <c r="Q242" s="232"/>
    </row>
    <row r="243" spans="4:17" ht="18" customHeight="1">
      <c r="D243" s="233">
        <v>2020</v>
      </c>
      <c r="E243" s="231">
        <v>12</v>
      </c>
      <c r="F243" s="231" t="s">
        <v>633</v>
      </c>
      <c r="G243" s="231" t="s">
        <v>1202</v>
      </c>
      <c r="H243" s="231" t="s">
        <v>1203</v>
      </c>
      <c r="I243" s="231">
        <v>3</v>
      </c>
      <c r="J243" s="231" t="s">
        <v>474</v>
      </c>
      <c r="K243" s="231">
        <f>SUMIF('CF.1'!$D:$D,CFS!G243,'CF.1'!$T:$T)</f>
        <v>-25981135</v>
      </c>
      <c r="L243" s="231">
        <f t="shared" si="14"/>
        <v>-25981135</v>
      </c>
      <c r="M243" s="234">
        <f t="shared" si="15"/>
        <v>0</v>
      </c>
      <c r="O243" s="230"/>
      <c r="P243" s="231"/>
      <c r="Q243" s="232"/>
    </row>
    <row r="244" spans="4:17" ht="18" customHeight="1">
      <c r="D244" s="233">
        <v>2020</v>
      </c>
      <c r="E244" s="231">
        <v>12</v>
      </c>
      <c r="F244" s="231" t="s">
        <v>633</v>
      </c>
      <c r="G244" s="231" t="s">
        <v>1204</v>
      </c>
      <c r="H244" s="231" t="s">
        <v>1205</v>
      </c>
      <c r="I244" s="231">
        <v>3</v>
      </c>
      <c r="J244" s="231" t="s">
        <v>474</v>
      </c>
      <c r="K244" s="231">
        <f>SUMIF('CF.1'!$D:$D,CFS!G244,'CF.1'!$T:$T)</f>
        <v>0</v>
      </c>
      <c r="L244" s="231">
        <f t="shared" si="14"/>
        <v>0</v>
      </c>
      <c r="M244" s="234">
        <f t="shared" si="15"/>
        <v>0</v>
      </c>
      <c r="O244" s="230"/>
      <c r="P244" s="231"/>
      <c r="Q244" s="232"/>
    </row>
    <row r="245" spans="4:17" ht="18" customHeight="1">
      <c r="D245" s="233">
        <v>2020</v>
      </c>
      <c r="E245" s="231">
        <v>12</v>
      </c>
      <c r="F245" s="231" t="s">
        <v>633</v>
      </c>
      <c r="G245" s="231" t="s">
        <v>1206</v>
      </c>
      <c r="H245" s="231" t="s">
        <v>1207</v>
      </c>
      <c r="I245" s="231">
        <v>3</v>
      </c>
      <c r="J245" s="231" t="s">
        <v>474</v>
      </c>
      <c r="K245" s="231">
        <f>SUMIF('CF.1'!$D:$D,CFS!G245,'CF.1'!$T:$T)</f>
        <v>0</v>
      </c>
      <c r="L245" s="231">
        <f t="shared" si="14"/>
        <v>0</v>
      </c>
      <c r="M245" s="234">
        <f t="shared" si="15"/>
        <v>0</v>
      </c>
      <c r="O245" s="230"/>
      <c r="P245" s="231"/>
      <c r="Q245" s="232"/>
    </row>
    <row r="246" spans="4:17" ht="18" customHeight="1">
      <c r="D246" s="233">
        <v>2020</v>
      </c>
      <c r="E246" s="231">
        <v>12</v>
      </c>
      <c r="F246" s="231" t="s">
        <v>633</v>
      </c>
      <c r="G246" s="231" t="s">
        <v>1208</v>
      </c>
      <c r="H246" s="231" t="s">
        <v>1209</v>
      </c>
      <c r="I246" s="231">
        <v>3</v>
      </c>
      <c r="J246" s="231" t="s">
        <v>474</v>
      </c>
      <c r="K246" s="231">
        <f>SUMIF('CF.1'!$D:$D,CFS!G246,'CF.1'!$T:$T)</f>
        <v>-11685490</v>
      </c>
      <c r="L246" s="231">
        <f t="shared" si="14"/>
        <v>-11685490</v>
      </c>
      <c r="M246" s="234">
        <f t="shared" si="15"/>
        <v>0</v>
      </c>
      <c r="O246" s="230"/>
      <c r="P246" s="231"/>
      <c r="Q246" s="232"/>
    </row>
    <row r="247" spans="4:17" ht="18" customHeight="1">
      <c r="D247" s="233">
        <v>2020</v>
      </c>
      <c r="E247" s="231">
        <v>12</v>
      </c>
      <c r="F247" s="231" t="s">
        <v>633</v>
      </c>
      <c r="G247" s="231" t="s">
        <v>1210</v>
      </c>
      <c r="H247" s="231" t="s">
        <v>1211</v>
      </c>
      <c r="I247" s="231">
        <v>3</v>
      </c>
      <c r="J247" s="231" t="s">
        <v>474</v>
      </c>
      <c r="K247" s="231">
        <f>SUMIF('CF.1'!$D:$D,CFS!G247,'CF.1'!$T:$T)</f>
        <v>-1244827020</v>
      </c>
      <c r="L247" s="231">
        <f t="shared" si="14"/>
        <v>-1244827020</v>
      </c>
      <c r="M247" s="234">
        <f t="shared" si="15"/>
        <v>0</v>
      </c>
      <c r="O247" s="230"/>
      <c r="P247" s="231"/>
      <c r="Q247" s="232"/>
    </row>
    <row r="248" spans="4:17" ht="18" customHeight="1">
      <c r="D248" s="233">
        <v>2020</v>
      </c>
      <c r="E248" s="231">
        <v>12</v>
      </c>
      <c r="F248" s="231" t="s">
        <v>633</v>
      </c>
      <c r="G248" s="231" t="s">
        <v>1212</v>
      </c>
      <c r="H248" s="231" t="s">
        <v>1213</v>
      </c>
      <c r="I248" s="231">
        <v>3</v>
      </c>
      <c r="J248" s="231" t="s">
        <v>474</v>
      </c>
      <c r="K248" s="231">
        <f>SUMIF('CF.1'!$D:$D,CFS!G248,'CF.1'!$T:$T)</f>
        <v>0</v>
      </c>
      <c r="L248" s="231">
        <f t="shared" si="14"/>
        <v>0</v>
      </c>
      <c r="M248" s="234">
        <f t="shared" si="15"/>
        <v>0</v>
      </c>
      <c r="O248" s="230"/>
      <c r="P248" s="231"/>
      <c r="Q248" s="232"/>
    </row>
    <row r="249" spans="4:17" ht="18" customHeight="1">
      <c r="D249" s="233">
        <v>2020</v>
      </c>
      <c r="E249" s="231">
        <v>12</v>
      </c>
      <c r="F249" s="231" t="s">
        <v>633</v>
      </c>
      <c r="G249" s="231" t="s">
        <v>1214</v>
      </c>
      <c r="H249" s="231" t="s">
        <v>1215</v>
      </c>
      <c r="I249" s="231">
        <v>3</v>
      </c>
      <c r="J249" s="231" t="s">
        <v>474</v>
      </c>
      <c r="K249" s="231">
        <f>SUMIF('CF.1'!$D:$D,CFS!G249,'CF.1'!$T:$T)</f>
        <v>0</v>
      </c>
      <c r="L249" s="231">
        <f t="shared" si="14"/>
        <v>0</v>
      </c>
      <c r="M249" s="234">
        <f t="shared" si="15"/>
        <v>0</v>
      </c>
      <c r="O249" s="230"/>
      <c r="P249" s="231"/>
      <c r="Q249" s="232"/>
    </row>
    <row r="250" spans="4:17" ht="18" customHeight="1">
      <c r="D250" s="233">
        <v>2020</v>
      </c>
      <c r="E250" s="231">
        <v>12</v>
      </c>
      <c r="F250" s="231" t="s">
        <v>633</v>
      </c>
      <c r="G250" s="231" t="s">
        <v>1216</v>
      </c>
      <c r="H250" s="231" t="s">
        <v>1575</v>
      </c>
      <c r="I250" s="231">
        <v>3</v>
      </c>
      <c r="J250" s="231" t="s">
        <v>474</v>
      </c>
      <c r="K250" s="231">
        <f>SUMIF('CF.1'!$D:$D,CFS!G250,'CF.1'!$T:$T)</f>
        <v>0</v>
      </c>
      <c r="L250" s="231">
        <f t="shared" si="14"/>
        <v>0</v>
      </c>
      <c r="M250" s="234">
        <f t="shared" si="15"/>
        <v>0</v>
      </c>
      <c r="O250" s="230"/>
      <c r="P250" s="231"/>
      <c r="Q250" s="232"/>
    </row>
    <row r="251" spans="4:17" ht="18" customHeight="1">
      <c r="D251" s="233">
        <v>2020</v>
      </c>
      <c r="E251" s="231">
        <v>12</v>
      </c>
      <c r="F251" s="231" t="s">
        <v>633</v>
      </c>
      <c r="G251" s="231" t="s">
        <v>1218</v>
      </c>
      <c r="H251" s="231" t="s">
        <v>1219</v>
      </c>
      <c r="I251" s="231">
        <v>3</v>
      </c>
      <c r="J251" s="231" t="s">
        <v>474</v>
      </c>
      <c r="K251" s="231">
        <f>SUMIF('CF.1'!$D:$D,CFS!G251,'CF.1'!$T:$T)</f>
        <v>0</v>
      </c>
      <c r="L251" s="231">
        <f t="shared" si="14"/>
        <v>0</v>
      </c>
      <c r="M251" s="234">
        <f t="shared" si="15"/>
        <v>0</v>
      </c>
      <c r="O251" s="230"/>
      <c r="P251" s="231"/>
      <c r="Q251" s="232"/>
    </row>
    <row r="252" spans="4:17" ht="18" customHeight="1">
      <c r="D252" s="233">
        <v>2020</v>
      </c>
      <c r="E252" s="231">
        <v>12</v>
      </c>
      <c r="F252" s="231" t="s">
        <v>633</v>
      </c>
      <c r="G252" s="231" t="s">
        <v>1220</v>
      </c>
      <c r="H252" s="231" t="s">
        <v>1221</v>
      </c>
      <c r="I252" s="231">
        <v>3</v>
      </c>
      <c r="J252" s="231" t="s">
        <v>474</v>
      </c>
      <c r="K252" s="231">
        <f>SUMIF('CF.1'!$D:$D,CFS!G252,'CF.1'!$T:$T)</f>
        <v>0</v>
      </c>
      <c r="L252" s="231">
        <f t="shared" si="14"/>
        <v>0</v>
      </c>
      <c r="M252" s="234">
        <f t="shared" si="15"/>
        <v>0</v>
      </c>
      <c r="O252" s="230"/>
      <c r="P252" s="231"/>
      <c r="Q252" s="232"/>
    </row>
    <row r="253" spans="4:17" ht="18" customHeight="1">
      <c r="D253" s="233">
        <v>2020</v>
      </c>
      <c r="E253" s="231">
        <v>12</v>
      </c>
      <c r="F253" s="231" t="s">
        <v>633</v>
      </c>
      <c r="G253" s="231" t="s">
        <v>1222</v>
      </c>
      <c r="H253" s="231" t="s">
        <v>1223</v>
      </c>
      <c r="I253" s="231">
        <v>3</v>
      </c>
      <c r="J253" s="231" t="s">
        <v>474</v>
      </c>
      <c r="K253" s="231">
        <f>SUMIF('CF.1'!$D:$D,CFS!G253,'CF.1'!$T:$T)</f>
        <v>0</v>
      </c>
      <c r="L253" s="231">
        <f t="shared" si="14"/>
        <v>0</v>
      </c>
      <c r="M253" s="234">
        <f t="shared" si="15"/>
        <v>0</v>
      </c>
      <c r="O253" s="230"/>
      <c r="P253" s="231"/>
      <c r="Q253" s="232"/>
    </row>
    <row r="254" spans="4:17" ht="18" customHeight="1">
      <c r="D254" s="233">
        <v>2020</v>
      </c>
      <c r="E254" s="231">
        <v>12</v>
      </c>
      <c r="F254" s="231" t="s">
        <v>633</v>
      </c>
      <c r="G254" s="231" t="s">
        <v>1224</v>
      </c>
      <c r="H254" s="231" t="s">
        <v>1225</v>
      </c>
      <c r="I254" s="231">
        <v>3</v>
      </c>
      <c r="J254" s="231" t="s">
        <v>474</v>
      </c>
      <c r="K254" s="231">
        <f>SUMIF('CF.1'!$D:$D,CFS!G254,'CF.1'!$T:$T)</f>
        <v>0</v>
      </c>
      <c r="L254" s="231">
        <f t="shared" si="14"/>
        <v>0</v>
      </c>
      <c r="M254" s="234">
        <f t="shared" si="15"/>
        <v>0</v>
      </c>
      <c r="O254" s="230"/>
      <c r="P254" s="231"/>
      <c r="Q254" s="232"/>
    </row>
    <row r="255" spans="4:17" ht="18" customHeight="1">
      <c r="D255" s="233">
        <v>2020</v>
      </c>
      <c r="E255" s="231">
        <v>12</v>
      </c>
      <c r="F255" s="231" t="s">
        <v>633</v>
      </c>
      <c r="G255" s="231" t="s">
        <v>1234</v>
      </c>
      <c r="H255" s="231" t="s">
        <v>1235</v>
      </c>
      <c r="I255" s="231">
        <v>3</v>
      </c>
      <c r="J255" s="231" t="s">
        <v>474</v>
      </c>
      <c r="K255" s="231">
        <f>SUMIF('CF.1'!$D:$D,CFS!G255,'CF.1'!$T:$T)</f>
        <v>0</v>
      </c>
      <c r="L255" s="231">
        <f t="shared" si="14"/>
        <v>0</v>
      </c>
      <c r="M255" s="234">
        <f t="shared" si="15"/>
        <v>0</v>
      </c>
      <c r="O255" s="230"/>
      <c r="P255" s="231"/>
      <c r="Q255" s="232"/>
    </row>
    <row r="256" spans="4:17" ht="18" customHeight="1">
      <c r="D256" s="227">
        <v>2020</v>
      </c>
      <c r="E256" s="228">
        <v>12</v>
      </c>
      <c r="F256" s="228" t="s">
        <v>633</v>
      </c>
      <c r="G256" s="228" t="s">
        <v>1236</v>
      </c>
      <c r="H256" s="228" t="s">
        <v>1237</v>
      </c>
      <c r="I256" s="228">
        <v>1</v>
      </c>
      <c r="J256" s="228" t="s">
        <v>474</v>
      </c>
      <c r="K256" s="228">
        <f>K257+K278</f>
        <v>-2329330151</v>
      </c>
      <c r="L256" s="228">
        <f>L257+L278</f>
        <v>-2329330151</v>
      </c>
      <c r="M256" s="229">
        <f>M257+M278</f>
        <v>0</v>
      </c>
      <c r="O256" s="230"/>
      <c r="P256" s="231"/>
      <c r="Q256" s="232"/>
    </row>
    <row r="257" spans="4:17" ht="18" customHeight="1">
      <c r="D257" s="227">
        <v>2020</v>
      </c>
      <c r="E257" s="228">
        <v>12</v>
      </c>
      <c r="F257" s="228" t="s">
        <v>633</v>
      </c>
      <c r="G257" s="228" t="s">
        <v>1238</v>
      </c>
      <c r="H257" s="228" t="s">
        <v>1239</v>
      </c>
      <c r="I257" s="228">
        <v>2</v>
      </c>
      <c r="J257" s="228" t="s">
        <v>474</v>
      </c>
      <c r="K257" s="228">
        <f>SUM(K258:K277)</f>
        <v>0</v>
      </c>
      <c r="L257" s="228">
        <f>SUM(L258:L277)</f>
        <v>0</v>
      </c>
      <c r="M257" s="229">
        <f>SUM(M258:M277)</f>
        <v>0</v>
      </c>
      <c r="O257" s="230"/>
      <c r="P257" s="231"/>
      <c r="Q257" s="232"/>
    </row>
    <row r="258" spans="4:17" ht="18" customHeight="1">
      <c r="D258" s="233">
        <v>2020</v>
      </c>
      <c r="E258" s="231">
        <v>12</v>
      </c>
      <c r="F258" s="231" t="s">
        <v>633</v>
      </c>
      <c r="G258" s="231" t="s">
        <v>1240</v>
      </c>
      <c r="H258" s="231" t="s">
        <v>1241</v>
      </c>
      <c r="I258" s="231">
        <v>3</v>
      </c>
      <c r="J258" s="231" t="s">
        <v>474</v>
      </c>
      <c r="K258" s="231">
        <f>SUMIF('CF.1'!$D:$D,CFS!G258,'CF.1'!$T:$T)</f>
        <v>0</v>
      </c>
      <c r="L258" s="231">
        <f t="shared" ref="L258:L277" si="16">K258</f>
        <v>0</v>
      </c>
      <c r="M258" s="234">
        <f t="shared" ref="M258:M277" si="17">L258-K258</f>
        <v>0</v>
      </c>
      <c r="O258" s="230"/>
      <c r="P258" s="231"/>
      <c r="Q258" s="232"/>
    </row>
    <row r="259" spans="4:17" ht="18" customHeight="1">
      <c r="D259" s="233">
        <v>2020</v>
      </c>
      <c r="E259" s="231">
        <v>12</v>
      </c>
      <c r="F259" s="231" t="s">
        <v>633</v>
      </c>
      <c r="G259" s="231" t="s">
        <v>1242</v>
      </c>
      <c r="H259" s="231" t="s">
        <v>1243</v>
      </c>
      <c r="I259" s="231">
        <v>3</v>
      </c>
      <c r="J259" s="231" t="s">
        <v>474</v>
      </c>
      <c r="K259" s="231">
        <f>SUMIF('CF.1'!$D:$D,CFS!G259,'CF.1'!$T:$T)</f>
        <v>0</v>
      </c>
      <c r="L259" s="231">
        <f t="shared" si="16"/>
        <v>0</v>
      </c>
      <c r="M259" s="234">
        <f t="shared" si="17"/>
        <v>0</v>
      </c>
      <c r="O259" s="230"/>
      <c r="P259" s="231"/>
      <c r="Q259" s="232"/>
    </row>
    <row r="260" spans="4:17" ht="18" customHeight="1">
      <c r="D260" s="233">
        <v>2020</v>
      </c>
      <c r="E260" s="231">
        <v>12</v>
      </c>
      <c r="F260" s="231" t="s">
        <v>633</v>
      </c>
      <c r="G260" s="231" t="s">
        <v>1244</v>
      </c>
      <c r="H260" s="231" t="s">
        <v>1245</v>
      </c>
      <c r="I260" s="231">
        <v>3</v>
      </c>
      <c r="J260" s="231" t="s">
        <v>474</v>
      </c>
      <c r="K260" s="231">
        <f>SUMIF('CF.1'!$D:$D,CFS!G260,'CF.1'!$T:$T)</f>
        <v>0</v>
      </c>
      <c r="L260" s="231">
        <f t="shared" si="16"/>
        <v>0</v>
      </c>
      <c r="M260" s="234">
        <f t="shared" si="17"/>
        <v>0</v>
      </c>
      <c r="O260" s="230"/>
      <c r="P260" s="231"/>
      <c r="Q260" s="232"/>
    </row>
    <row r="261" spans="4:17" ht="18" customHeight="1">
      <c r="D261" s="233">
        <v>2020</v>
      </c>
      <c r="E261" s="231">
        <v>12</v>
      </c>
      <c r="F261" s="231" t="s">
        <v>633</v>
      </c>
      <c r="G261" s="231" t="s">
        <v>1246</v>
      </c>
      <c r="H261" s="231" t="s">
        <v>1247</v>
      </c>
      <c r="I261" s="231">
        <v>3</v>
      </c>
      <c r="J261" s="231" t="s">
        <v>474</v>
      </c>
      <c r="K261" s="231">
        <f>SUMIF('CF.1'!$D:$D,CFS!G261,'CF.1'!$T:$T)</f>
        <v>0</v>
      </c>
      <c r="L261" s="231">
        <f t="shared" si="16"/>
        <v>0</v>
      </c>
      <c r="M261" s="234">
        <f t="shared" si="17"/>
        <v>0</v>
      </c>
      <c r="O261" s="230"/>
      <c r="P261" s="231"/>
      <c r="Q261" s="232"/>
    </row>
    <row r="262" spans="4:17" ht="18" customHeight="1">
      <c r="D262" s="233">
        <v>2020</v>
      </c>
      <c r="E262" s="231">
        <v>12</v>
      </c>
      <c r="F262" s="231" t="s">
        <v>633</v>
      </c>
      <c r="G262" s="231" t="s">
        <v>1248</v>
      </c>
      <c r="H262" s="231" t="s">
        <v>1249</v>
      </c>
      <c r="I262" s="231">
        <v>3</v>
      </c>
      <c r="J262" s="231" t="s">
        <v>474</v>
      </c>
      <c r="K262" s="231">
        <f>SUMIF('CF.1'!$D:$D,CFS!G262,'CF.1'!$T:$T)</f>
        <v>0</v>
      </c>
      <c r="L262" s="231">
        <f t="shared" si="16"/>
        <v>0</v>
      </c>
      <c r="M262" s="234">
        <f t="shared" si="17"/>
        <v>0</v>
      </c>
      <c r="O262" s="230"/>
      <c r="P262" s="231"/>
      <c r="Q262" s="232"/>
    </row>
    <row r="263" spans="4:17" ht="18" customHeight="1">
      <c r="D263" s="233">
        <v>2020</v>
      </c>
      <c r="E263" s="231">
        <v>12</v>
      </c>
      <c r="F263" s="231" t="s">
        <v>633</v>
      </c>
      <c r="G263" s="231" t="s">
        <v>1250</v>
      </c>
      <c r="H263" s="231" t="s">
        <v>1251</v>
      </c>
      <c r="I263" s="231">
        <v>3</v>
      </c>
      <c r="J263" s="231" t="s">
        <v>474</v>
      </c>
      <c r="K263" s="231">
        <f>SUMIF('CF.1'!$D:$D,CFS!G263,'CF.1'!$T:$T)</f>
        <v>0</v>
      </c>
      <c r="L263" s="231">
        <f t="shared" si="16"/>
        <v>0</v>
      </c>
      <c r="M263" s="234">
        <f t="shared" si="17"/>
        <v>0</v>
      </c>
      <c r="O263" s="230"/>
      <c r="P263" s="231"/>
      <c r="Q263" s="232"/>
    </row>
    <row r="264" spans="4:17" ht="18" customHeight="1">
      <c r="D264" s="233">
        <v>2020</v>
      </c>
      <c r="E264" s="231">
        <v>12</v>
      </c>
      <c r="F264" s="231" t="s">
        <v>633</v>
      </c>
      <c r="G264" s="231" t="s">
        <v>1252</v>
      </c>
      <c r="H264" s="231" t="s">
        <v>1253</v>
      </c>
      <c r="I264" s="231">
        <v>3</v>
      </c>
      <c r="J264" s="231" t="s">
        <v>474</v>
      </c>
      <c r="K264" s="231">
        <f>SUMIF('CF.1'!$D:$D,CFS!G264,'CF.1'!$T:$T)</f>
        <v>0</v>
      </c>
      <c r="L264" s="231">
        <f t="shared" si="16"/>
        <v>0</v>
      </c>
      <c r="M264" s="234">
        <f t="shared" si="17"/>
        <v>0</v>
      </c>
      <c r="O264" s="230"/>
      <c r="P264" s="231"/>
      <c r="Q264" s="232"/>
    </row>
    <row r="265" spans="4:17" ht="18" customHeight="1">
      <c r="D265" s="233">
        <v>2020</v>
      </c>
      <c r="E265" s="231">
        <v>12</v>
      </c>
      <c r="F265" s="231" t="s">
        <v>633</v>
      </c>
      <c r="G265" s="231" t="s">
        <v>1254</v>
      </c>
      <c r="H265" s="231" t="s">
        <v>1255</v>
      </c>
      <c r="I265" s="231">
        <v>3</v>
      </c>
      <c r="J265" s="231" t="s">
        <v>474</v>
      </c>
      <c r="K265" s="231">
        <f>SUMIF('CF.1'!$D:$D,CFS!G265,'CF.1'!$T:$T)</f>
        <v>0</v>
      </c>
      <c r="L265" s="231">
        <f t="shared" si="16"/>
        <v>0</v>
      </c>
      <c r="M265" s="234">
        <f t="shared" si="17"/>
        <v>0</v>
      </c>
      <c r="O265" s="230"/>
      <c r="P265" s="231"/>
      <c r="Q265" s="232"/>
    </row>
    <row r="266" spans="4:17" ht="18" customHeight="1">
      <c r="D266" s="233">
        <v>2020</v>
      </c>
      <c r="E266" s="231">
        <v>12</v>
      </c>
      <c r="F266" s="231" t="s">
        <v>633</v>
      </c>
      <c r="G266" s="231" t="s">
        <v>1256</v>
      </c>
      <c r="H266" s="231" t="s">
        <v>1257</v>
      </c>
      <c r="I266" s="231">
        <v>3</v>
      </c>
      <c r="J266" s="231" t="s">
        <v>474</v>
      </c>
      <c r="K266" s="231">
        <f>SUMIF('CF.1'!$D:$D,CFS!G266,'CF.1'!$T:$T)</f>
        <v>0</v>
      </c>
      <c r="L266" s="231">
        <f t="shared" si="16"/>
        <v>0</v>
      </c>
      <c r="M266" s="234">
        <f t="shared" si="17"/>
        <v>0</v>
      </c>
      <c r="O266" s="230"/>
      <c r="P266" s="231"/>
      <c r="Q266" s="232"/>
    </row>
    <row r="267" spans="4:17" ht="18" customHeight="1">
      <c r="D267" s="233">
        <v>2020</v>
      </c>
      <c r="E267" s="231">
        <v>12</v>
      </c>
      <c r="F267" s="231" t="s">
        <v>633</v>
      </c>
      <c r="G267" s="231" t="s">
        <v>1258</v>
      </c>
      <c r="H267" s="231" t="s">
        <v>1033</v>
      </c>
      <c r="I267" s="231">
        <v>3</v>
      </c>
      <c r="J267" s="231" t="s">
        <v>474</v>
      </c>
      <c r="K267" s="231">
        <f>SUMIF('CF.1'!$D:$D,CFS!G267,'CF.1'!$T:$T)</f>
        <v>0</v>
      </c>
      <c r="L267" s="231">
        <f t="shared" si="16"/>
        <v>0</v>
      </c>
      <c r="M267" s="234">
        <f t="shared" si="17"/>
        <v>0</v>
      </c>
      <c r="O267" s="230"/>
      <c r="P267" s="231"/>
      <c r="Q267" s="232"/>
    </row>
    <row r="268" spans="4:17" ht="18" customHeight="1">
      <c r="D268" s="233">
        <v>2020</v>
      </c>
      <c r="E268" s="231">
        <v>12</v>
      </c>
      <c r="F268" s="231" t="s">
        <v>633</v>
      </c>
      <c r="G268" s="231" t="s">
        <v>1259</v>
      </c>
      <c r="H268" s="231" t="s">
        <v>1035</v>
      </c>
      <c r="I268" s="231">
        <v>3</v>
      </c>
      <c r="J268" s="231" t="s">
        <v>474</v>
      </c>
      <c r="K268" s="231">
        <f>SUMIF('CF.1'!$D:$D,CFS!G268,'CF.1'!$T:$T)</f>
        <v>0</v>
      </c>
      <c r="L268" s="231">
        <f t="shared" si="16"/>
        <v>0</v>
      </c>
      <c r="M268" s="234">
        <f t="shared" si="17"/>
        <v>0</v>
      </c>
      <c r="O268" s="230"/>
      <c r="P268" s="231"/>
      <c r="Q268" s="232"/>
    </row>
    <row r="269" spans="4:17" ht="18" customHeight="1">
      <c r="D269" s="233">
        <v>2020</v>
      </c>
      <c r="E269" s="231">
        <v>12</v>
      </c>
      <c r="F269" s="231" t="s">
        <v>633</v>
      </c>
      <c r="G269" s="231" t="s">
        <v>1260</v>
      </c>
      <c r="H269" s="231" t="s">
        <v>1261</v>
      </c>
      <c r="I269" s="231">
        <v>3</v>
      </c>
      <c r="J269" s="231" t="s">
        <v>474</v>
      </c>
      <c r="K269" s="231">
        <f>SUMIF('CF.1'!$D:$D,CFS!G269,'CF.1'!$T:$T)</f>
        <v>0</v>
      </c>
      <c r="L269" s="231">
        <f t="shared" si="16"/>
        <v>0</v>
      </c>
      <c r="M269" s="234">
        <f t="shared" si="17"/>
        <v>0</v>
      </c>
      <c r="O269" s="230"/>
      <c r="P269" s="231"/>
      <c r="Q269" s="232"/>
    </row>
    <row r="270" spans="4:17" ht="18" customHeight="1">
      <c r="D270" s="233">
        <v>2020</v>
      </c>
      <c r="E270" s="231">
        <v>12</v>
      </c>
      <c r="F270" s="231" t="s">
        <v>633</v>
      </c>
      <c r="G270" s="231" t="s">
        <v>1262</v>
      </c>
      <c r="H270" s="231" t="s">
        <v>1263</v>
      </c>
      <c r="I270" s="231">
        <v>3</v>
      </c>
      <c r="J270" s="231" t="s">
        <v>474</v>
      </c>
      <c r="K270" s="231">
        <f>SUMIF('CF.1'!$D:$D,CFS!G270,'CF.1'!$T:$T)</f>
        <v>0</v>
      </c>
      <c r="L270" s="231">
        <f t="shared" si="16"/>
        <v>0</v>
      </c>
      <c r="M270" s="234">
        <f t="shared" si="17"/>
        <v>0</v>
      </c>
      <c r="O270" s="230"/>
      <c r="P270" s="231"/>
      <c r="Q270" s="232"/>
    </row>
    <row r="271" spans="4:17" ht="18" customHeight="1">
      <c r="D271" s="233">
        <v>2020</v>
      </c>
      <c r="E271" s="231">
        <v>12</v>
      </c>
      <c r="F271" s="231" t="s">
        <v>633</v>
      </c>
      <c r="G271" s="231" t="s">
        <v>1264</v>
      </c>
      <c r="H271" s="231" t="s">
        <v>1265</v>
      </c>
      <c r="I271" s="231">
        <v>3</v>
      </c>
      <c r="J271" s="231" t="s">
        <v>474</v>
      </c>
      <c r="K271" s="231">
        <f>SUMIF('CF.1'!$D:$D,CFS!G271,'CF.1'!$T:$T)</f>
        <v>0</v>
      </c>
      <c r="L271" s="231">
        <f t="shared" si="16"/>
        <v>0</v>
      </c>
      <c r="M271" s="234">
        <f t="shared" si="17"/>
        <v>0</v>
      </c>
      <c r="O271" s="230"/>
      <c r="P271" s="231"/>
      <c r="Q271" s="232"/>
    </row>
    <row r="272" spans="4:17" ht="18" customHeight="1">
      <c r="D272" s="233">
        <v>2020</v>
      </c>
      <c r="E272" s="231">
        <v>12</v>
      </c>
      <c r="F272" s="231" t="s">
        <v>633</v>
      </c>
      <c r="G272" s="231" t="s">
        <v>1266</v>
      </c>
      <c r="H272" s="231" t="s">
        <v>1267</v>
      </c>
      <c r="I272" s="231">
        <v>3</v>
      </c>
      <c r="J272" s="231" t="s">
        <v>474</v>
      </c>
      <c r="K272" s="231">
        <f>SUMIF('CF.1'!$D:$D,CFS!G272,'CF.1'!$T:$T)</f>
        <v>0</v>
      </c>
      <c r="L272" s="231">
        <f t="shared" si="16"/>
        <v>0</v>
      </c>
      <c r="M272" s="234">
        <f t="shared" si="17"/>
        <v>0</v>
      </c>
      <c r="O272" s="230"/>
      <c r="P272" s="231"/>
      <c r="Q272" s="232"/>
    </row>
    <row r="273" spans="4:17" ht="18" customHeight="1">
      <c r="D273" s="233">
        <v>2020</v>
      </c>
      <c r="E273" s="231">
        <v>12</v>
      </c>
      <c r="F273" s="231" t="s">
        <v>633</v>
      </c>
      <c r="G273" s="231" t="s">
        <v>1268</v>
      </c>
      <c r="H273" s="231" t="s">
        <v>1269</v>
      </c>
      <c r="I273" s="231">
        <v>3</v>
      </c>
      <c r="J273" s="231" t="s">
        <v>474</v>
      </c>
      <c r="K273" s="231">
        <f>SUMIF('CF.1'!$D:$D,CFS!G273,'CF.1'!$T:$T)</f>
        <v>0</v>
      </c>
      <c r="L273" s="231">
        <f t="shared" si="16"/>
        <v>0</v>
      </c>
      <c r="M273" s="234">
        <f t="shared" si="17"/>
        <v>0</v>
      </c>
      <c r="O273" s="230"/>
      <c r="P273" s="231"/>
      <c r="Q273" s="232"/>
    </row>
    <row r="274" spans="4:17" ht="18" customHeight="1">
      <c r="D274" s="233">
        <v>2020</v>
      </c>
      <c r="E274" s="231">
        <v>12</v>
      </c>
      <c r="F274" s="231" t="s">
        <v>633</v>
      </c>
      <c r="G274" s="231" t="s">
        <v>1270</v>
      </c>
      <c r="H274" s="231" t="s">
        <v>1271</v>
      </c>
      <c r="I274" s="231">
        <v>3</v>
      </c>
      <c r="J274" s="231" t="s">
        <v>474</v>
      </c>
      <c r="K274" s="231">
        <f>SUMIF('CF.1'!$D:$D,CFS!G274,'CF.1'!$T:$T)</f>
        <v>0</v>
      </c>
      <c r="L274" s="231">
        <f t="shared" si="16"/>
        <v>0</v>
      </c>
      <c r="M274" s="234">
        <f t="shared" si="17"/>
        <v>0</v>
      </c>
      <c r="O274" s="230"/>
      <c r="P274" s="231"/>
      <c r="Q274" s="232"/>
    </row>
    <row r="275" spans="4:17" ht="18" customHeight="1">
      <c r="D275" s="233">
        <v>2020</v>
      </c>
      <c r="E275" s="231">
        <v>12</v>
      </c>
      <c r="F275" s="231" t="s">
        <v>633</v>
      </c>
      <c r="G275" s="231" t="s">
        <v>1272</v>
      </c>
      <c r="H275" s="231" t="s">
        <v>1273</v>
      </c>
      <c r="I275" s="231">
        <v>3</v>
      </c>
      <c r="J275" s="231" t="s">
        <v>474</v>
      </c>
      <c r="K275" s="231">
        <f>SUMIF('CF.1'!$D:$D,CFS!G275,'CF.1'!$T:$T)</f>
        <v>0</v>
      </c>
      <c r="L275" s="231">
        <f t="shared" si="16"/>
        <v>0</v>
      </c>
      <c r="M275" s="234">
        <f t="shared" si="17"/>
        <v>0</v>
      </c>
      <c r="O275" s="230"/>
      <c r="P275" s="231"/>
      <c r="Q275" s="232"/>
    </row>
    <row r="276" spans="4:17" ht="18" customHeight="1">
      <c r="D276" s="233">
        <v>2020</v>
      </c>
      <c r="E276" s="231">
        <v>12</v>
      </c>
      <c r="F276" s="231" t="s">
        <v>633</v>
      </c>
      <c r="G276" s="231" t="s">
        <v>1576</v>
      </c>
      <c r="H276" s="231" t="s">
        <v>1577</v>
      </c>
      <c r="I276" s="231">
        <v>3</v>
      </c>
      <c r="J276" s="231" t="s">
        <v>474</v>
      </c>
      <c r="K276" s="231">
        <f>SUMIF('CF.1'!$D:$D,CFS!G276,'CF.1'!$T:$T)</f>
        <v>0</v>
      </c>
      <c r="L276" s="231">
        <f t="shared" si="16"/>
        <v>0</v>
      </c>
      <c r="M276" s="234">
        <f t="shared" si="17"/>
        <v>0</v>
      </c>
      <c r="O276" s="230"/>
      <c r="P276" s="231"/>
      <c r="Q276" s="232"/>
    </row>
    <row r="277" spans="4:17" ht="18" customHeight="1">
      <c r="D277" s="233">
        <v>2020</v>
      </c>
      <c r="E277" s="231">
        <v>12</v>
      </c>
      <c r="F277" s="231" t="s">
        <v>633</v>
      </c>
      <c r="G277" s="231" t="s">
        <v>1278</v>
      </c>
      <c r="H277" s="231" t="s">
        <v>1279</v>
      </c>
      <c r="I277" s="231">
        <v>3</v>
      </c>
      <c r="J277" s="231" t="s">
        <v>474</v>
      </c>
      <c r="K277" s="231">
        <f>SUMIF('CF.1'!$D:$D,CFS!G277,'CF.1'!$T:$T)</f>
        <v>0</v>
      </c>
      <c r="L277" s="231">
        <f t="shared" si="16"/>
        <v>0</v>
      </c>
      <c r="M277" s="234">
        <f t="shared" si="17"/>
        <v>0</v>
      </c>
      <c r="O277" s="230"/>
      <c r="P277" s="231"/>
      <c r="Q277" s="232"/>
    </row>
    <row r="278" spans="4:17" ht="18" customHeight="1">
      <c r="D278" s="227">
        <v>2020</v>
      </c>
      <c r="E278" s="228">
        <v>12</v>
      </c>
      <c r="F278" s="228" t="s">
        <v>633</v>
      </c>
      <c r="G278" s="228" t="s">
        <v>1280</v>
      </c>
      <c r="H278" s="228" t="s">
        <v>1281</v>
      </c>
      <c r="I278" s="228">
        <v>2</v>
      </c>
      <c r="J278" s="228" t="s">
        <v>474</v>
      </c>
      <c r="K278" s="228">
        <f>SUM(K279:K296)</f>
        <v>-2329330151</v>
      </c>
      <c r="L278" s="228">
        <f>SUM(L279:L296)</f>
        <v>-2329330151</v>
      </c>
      <c r="M278" s="229">
        <f>SUM(M279:M296)</f>
        <v>0</v>
      </c>
      <c r="O278" s="230"/>
      <c r="P278" s="231"/>
      <c r="Q278" s="232"/>
    </row>
    <row r="279" spans="4:17" ht="18" customHeight="1">
      <c r="D279" s="233">
        <v>2020</v>
      </c>
      <c r="E279" s="231">
        <v>12</v>
      </c>
      <c r="F279" s="231" t="s">
        <v>633</v>
      </c>
      <c r="G279" s="231" t="s">
        <v>1282</v>
      </c>
      <c r="H279" s="231" t="s">
        <v>1283</v>
      </c>
      <c r="I279" s="231">
        <v>3</v>
      </c>
      <c r="J279" s="231" t="s">
        <v>474</v>
      </c>
      <c r="K279" s="231">
        <f>SUMIF('CF.1'!$D:$D,CFS!G279,'CF.1'!$T:$T)</f>
        <v>0</v>
      </c>
      <c r="L279" s="231">
        <f t="shared" ref="L279:L296" si="18">K279</f>
        <v>0</v>
      </c>
      <c r="M279" s="234">
        <f t="shared" ref="M279:M299" si="19">L279-K279</f>
        <v>0</v>
      </c>
      <c r="O279" s="230"/>
      <c r="P279" s="231"/>
      <c r="Q279" s="232"/>
    </row>
    <row r="280" spans="4:17" ht="18" customHeight="1">
      <c r="D280" s="233">
        <v>2020</v>
      </c>
      <c r="E280" s="231">
        <v>12</v>
      </c>
      <c r="F280" s="231" t="s">
        <v>633</v>
      </c>
      <c r="G280" s="231" t="s">
        <v>1284</v>
      </c>
      <c r="H280" s="231" t="s">
        <v>1285</v>
      </c>
      <c r="I280" s="231">
        <v>3</v>
      </c>
      <c r="J280" s="231" t="s">
        <v>474</v>
      </c>
      <c r="K280" s="231">
        <f>SUMIF('CF.1'!$D:$D,CFS!G280,'CF.1'!$T:$T)</f>
        <v>0</v>
      </c>
      <c r="L280" s="231">
        <f t="shared" si="18"/>
        <v>0</v>
      </c>
      <c r="M280" s="234">
        <f t="shared" si="19"/>
        <v>0</v>
      </c>
      <c r="O280" s="230"/>
      <c r="P280" s="231"/>
      <c r="Q280" s="232"/>
    </row>
    <row r="281" spans="4:17" ht="18" customHeight="1">
      <c r="D281" s="233">
        <v>2020</v>
      </c>
      <c r="E281" s="231">
        <v>12</v>
      </c>
      <c r="F281" s="231" t="s">
        <v>633</v>
      </c>
      <c r="G281" s="231" t="s">
        <v>1286</v>
      </c>
      <c r="H281" s="231" t="s">
        <v>1287</v>
      </c>
      <c r="I281" s="231">
        <v>3</v>
      </c>
      <c r="J281" s="231" t="s">
        <v>474</v>
      </c>
      <c r="K281" s="231">
        <f>SUMIF('CF.1'!$D:$D,CFS!G281,'CF.1'!$T:$T)</f>
        <v>0</v>
      </c>
      <c r="L281" s="231">
        <f t="shared" si="18"/>
        <v>0</v>
      </c>
      <c r="M281" s="234">
        <f t="shared" si="19"/>
        <v>0</v>
      </c>
      <c r="O281" s="230"/>
      <c r="P281" s="231"/>
      <c r="Q281" s="232"/>
    </row>
    <row r="282" spans="4:17" ht="18" customHeight="1">
      <c r="D282" s="233">
        <v>2020</v>
      </c>
      <c r="E282" s="231">
        <v>12</v>
      </c>
      <c r="F282" s="231" t="s">
        <v>633</v>
      </c>
      <c r="G282" s="231" t="s">
        <v>1288</v>
      </c>
      <c r="H282" s="231" t="s">
        <v>1289</v>
      </c>
      <c r="I282" s="231">
        <v>3</v>
      </c>
      <c r="J282" s="231" t="s">
        <v>474</v>
      </c>
      <c r="K282" s="231">
        <f>SUMIF('CF.1'!$D:$D,CFS!G282,'CF.1'!$T:$T)</f>
        <v>0</v>
      </c>
      <c r="L282" s="231">
        <f t="shared" si="18"/>
        <v>0</v>
      </c>
      <c r="M282" s="234">
        <f t="shared" si="19"/>
        <v>0</v>
      </c>
      <c r="O282" s="230"/>
      <c r="P282" s="231"/>
      <c r="Q282" s="232"/>
    </row>
    <row r="283" spans="4:17" ht="18" customHeight="1">
      <c r="D283" s="233">
        <v>2020</v>
      </c>
      <c r="E283" s="231">
        <v>12</v>
      </c>
      <c r="F283" s="231" t="s">
        <v>633</v>
      </c>
      <c r="G283" s="231" t="s">
        <v>1290</v>
      </c>
      <c r="H283" s="231" t="s">
        <v>1291</v>
      </c>
      <c r="I283" s="231">
        <v>3</v>
      </c>
      <c r="J283" s="231" t="s">
        <v>474</v>
      </c>
      <c r="K283" s="231">
        <f>SUMIF('CF.1'!$D:$D,CFS!G283,'CF.1'!$T:$T)</f>
        <v>0</v>
      </c>
      <c r="L283" s="231">
        <f t="shared" si="18"/>
        <v>0</v>
      </c>
      <c r="M283" s="234">
        <f t="shared" si="19"/>
        <v>0</v>
      </c>
      <c r="O283" s="230"/>
      <c r="P283" s="231"/>
      <c r="Q283" s="232"/>
    </row>
    <row r="284" spans="4:17" ht="18" customHeight="1">
      <c r="D284" s="233">
        <v>2020</v>
      </c>
      <c r="E284" s="231">
        <v>12</v>
      </c>
      <c r="F284" s="231" t="s">
        <v>633</v>
      </c>
      <c r="G284" s="231" t="s">
        <v>1292</v>
      </c>
      <c r="H284" s="231" t="s">
        <v>1293</v>
      </c>
      <c r="I284" s="231">
        <v>3</v>
      </c>
      <c r="J284" s="231" t="s">
        <v>474</v>
      </c>
      <c r="K284" s="231">
        <f>SUMIF('CF.1'!$D:$D,CFS!G284,'CF.1'!$T:$T)</f>
        <v>0</v>
      </c>
      <c r="L284" s="231">
        <f t="shared" si="18"/>
        <v>0</v>
      </c>
      <c r="M284" s="234">
        <f t="shared" si="19"/>
        <v>0</v>
      </c>
      <c r="O284" s="230"/>
      <c r="P284" s="231"/>
      <c r="Q284" s="232"/>
    </row>
    <row r="285" spans="4:17" ht="18" customHeight="1">
      <c r="D285" s="233">
        <v>2020</v>
      </c>
      <c r="E285" s="231">
        <v>12</v>
      </c>
      <c r="F285" s="231" t="s">
        <v>633</v>
      </c>
      <c r="G285" s="231" t="s">
        <v>1294</v>
      </c>
      <c r="H285" s="231" t="s">
        <v>1142</v>
      </c>
      <c r="I285" s="231">
        <v>3</v>
      </c>
      <c r="J285" s="231" t="s">
        <v>474</v>
      </c>
      <c r="K285" s="231">
        <f>SUMIF('CF.1'!$D:$D,CFS!G285,'CF.1'!$T:$T)</f>
        <v>0</v>
      </c>
      <c r="L285" s="231">
        <f t="shared" si="18"/>
        <v>0</v>
      </c>
      <c r="M285" s="234">
        <f t="shared" si="19"/>
        <v>0</v>
      </c>
      <c r="O285" s="230"/>
      <c r="P285" s="231"/>
      <c r="Q285" s="232"/>
    </row>
    <row r="286" spans="4:17" ht="18" customHeight="1">
      <c r="D286" s="233">
        <v>2020</v>
      </c>
      <c r="E286" s="231">
        <v>12</v>
      </c>
      <c r="F286" s="231" t="s">
        <v>633</v>
      </c>
      <c r="G286" s="231" t="s">
        <v>1295</v>
      </c>
      <c r="H286" s="231" t="s">
        <v>1144</v>
      </c>
      <c r="I286" s="231">
        <v>3</v>
      </c>
      <c r="J286" s="231" t="s">
        <v>474</v>
      </c>
      <c r="K286" s="231">
        <f>SUMIF('CF.1'!$D:$D,CFS!G286,'CF.1'!$T:$T)</f>
        <v>0</v>
      </c>
      <c r="L286" s="231">
        <f t="shared" si="18"/>
        <v>0</v>
      </c>
      <c r="M286" s="234">
        <f t="shared" si="19"/>
        <v>0</v>
      </c>
      <c r="O286" s="230"/>
      <c r="P286" s="231"/>
      <c r="Q286" s="232"/>
    </row>
    <row r="287" spans="4:17" ht="18" customHeight="1">
      <c r="D287" s="233">
        <v>2020</v>
      </c>
      <c r="E287" s="231">
        <v>12</v>
      </c>
      <c r="F287" s="231" t="s">
        <v>633</v>
      </c>
      <c r="G287" s="231" t="s">
        <v>1296</v>
      </c>
      <c r="H287" s="231" t="s">
        <v>1297</v>
      </c>
      <c r="I287" s="231">
        <v>3</v>
      </c>
      <c r="J287" s="7" t="s">
        <v>474</v>
      </c>
      <c r="K287" s="231">
        <f>SUMIF('CF.1'!$D:$D,CFS!G287,'CF.1'!$T:$T)</f>
        <v>0</v>
      </c>
      <c r="L287" s="231">
        <f t="shared" si="18"/>
        <v>0</v>
      </c>
      <c r="M287" s="234">
        <f t="shared" si="19"/>
        <v>0</v>
      </c>
      <c r="O287" s="230"/>
      <c r="P287" s="231"/>
      <c r="Q287" s="232"/>
    </row>
    <row r="288" spans="4:17" ht="18" customHeight="1">
      <c r="D288" s="233">
        <v>2020</v>
      </c>
      <c r="E288" s="231">
        <v>12</v>
      </c>
      <c r="F288" s="231" t="s">
        <v>633</v>
      </c>
      <c r="G288" s="231" t="s">
        <v>1298</v>
      </c>
      <c r="H288" s="231" t="s">
        <v>1299</v>
      </c>
      <c r="I288" s="231">
        <v>3</v>
      </c>
      <c r="J288" s="231" t="s">
        <v>474</v>
      </c>
      <c r="K288" s="231">
        <f>SUMIF('CF.1'!$D:$D,CFS!G288,'CF.1'!$T:$T)</f>
        <v>0</v>
      </c>
      <c r="L288" s="231">
        <f t="shared" si="18"/>
        <v>0</v>
      </c>
      <c r="M288" s="234">
        <f t="shared" si="19"/>
        <v>0</v>
      </c>
      <c r="O288" s="230"/>
      <c r="P288" s="231"/>
      <c r="Q288" s="232"/>
    </row>
    <row r="289" spans="4:17" ht="18" customHeight="1">
      <c r="D289" s="233">
        <v>2020</v>
      </c>
      <c r="E289" s="231">
        <v>12</v>
      </c>
      <c r="F289" s="231" t="s">
        <v>633</v>
      </c>
      <c r="G289" s="231" t="s">
        <v>1300</v>
      </c>
      <c r="H289" s="231" t="s">
        <v>1301</v>
      </c>
      <c r="I289" s="231">
        <v>3</v>
      </c>
      <c r="J289" s="231" t="s">
        <v>474</v>
      </c>
      <c r="K289" s="231">
        <f>SUMIF('CF.1'!$D:$D,CFS!G289,'CF.1'!$T:$T)</f>
        <v>0</v>
      </c>
      <c r="L289" s="231">
        <f t="shared" si="18"/>
        <v>0</v>
      </c>
      <c r="M289" s="234">
        <f t="shared" si="19"/>
        <v>0</v>
      </c>
      <c r="O289" s="230"/>
      <c r="P289" s="231"/>
      <c r="Q289" s="232"/>
    </row>
    <row r="290" spans="4:17" ht="18" customHeight="1">
      <c r="D290" s="233">
        <v>2020</v>
      </c>
      <c r="E290" s="231">
        <v>12</v>
      </c>
      <c r="F290" s="231" t="s">
        <v>633</v>
      </c>
      <c r="G290" s="231" t="s">
        <v>1302</v>
      </c>
      <c r="H290" s="231" t="s">
        <v>1578</v>
      </c>
      <c r="I290" s="231">
        <v>3</v>
      </c>
      <c r="J290" s="231" t="s">
        <v>474</v>
      </c>
      <c r="K290" s="231">
        <f>SUMIF('CF.1'!$D:$D,CFS!G290,'CF.1'!$T:$T)</f>
        <v>0</v>
      </c>
      <c r="L290" s="231">
        <f t="shared" si="18"/>
        <v>0</v>
      </c>
      <c r="M290" s="234">
        <f t="shared" si="19"/>
        <v>0</v>
      </c>
      <c r="O290" s="230"/>
      <c r="P290" s="231"/>
      <c r="Q290" s="232"/>
    </row>
    <row r="291" spans="4:17" ht="18" customHeight="1">
      <c r="D291" s="233">
        <v>2020</v>
      </c>
      <c r="E291" s="231">
        <v>12</v>
      </c>
      <c r="F291" s="231" t="s">
        <v>633</v>
      </c>
      <c r="G291" s="231" t="s">
        <v>1304</v>
      </c>
      <c r="H291" s="231" t="s">
        <v>1305</v>
      </c>
      <c r="I291" s="231">
        <v>3</v>
      </c>
      <c r="J291" s="231" t="s">
        <v>474</v>
      </c>
      <c r="K291" s="231">
        <f>SUMIF('CF.1'!$D:$D,CFS!G291,'CF.1'!$T:$T)</f>
        <v>0</v>
      </c>
      <c r="L291" s="231">
        <f t="shared" si="18"/>
        <v>0</v>
      </c>
      <c r="M291" s="234">
        <f t="shared" si="19"/>
        <v>0</v>
      </c>
      <c r="O291" s="230"/>
      <c r="P291" s="231"/>
      <c r="Q291" s="232"/>
    </row>
    <row r="292" spans="4:17" ht="18" customHeight="1">
      <c r="D292" s="233">
        <v>2020</v>
      </c>
      <c r="E292" s="231">
        <v>12</v>
      </c>
      <c r="F292" s="231" t="s">
        <v>633</v>
      </c>
      <c r="G292" s="231" t="s">
        <v>1306</v>
      </c>
      <c r="H292" s="231" t="s">
        <v>1307</v>
      </c>
      <c r="I292" s="231">
        <v>3</v>
      </c>
      <c r="J292" s="231" t="s">
        <v>474</v>
      </c>
      <c r="K292" s="231">
        <f>SUMIF('CF.1'!$D:$D,CFS!G292,'CF.1'!$T:$T)</f>
        <v>0</v>
      </c>
      <c r="L292" s="231">
        <f t="shared" si="18"/>
        <v>0</v>
      </c>
      <c r="M292" s="234">
        <f t="shared" si="19"/>
        <v>0</v>
      </c>
      <c r="O292" s="230"/>
      <c r="P292" s="231"/>
      <c r="Q292" s="232"/>
    </row>
    <row r="293" spans="4:17" ht="18" customHeight="1">
      <c r="D293" s="233">
        <v>2020</v>
      </c>
      <c r="E293" s="231">
        <v>12</v>
      </c>
      <c r="F293" s="231" t="s">
        <v>633</v>
      </c>
      <c r="G293" s="231" t="s">
        <v>1308</v>
      </c>
      <c r="H293" s="231" t="s">
        <v>1309</v>
      </c>
      <c r="I293" s="231">
        <v>3</v>
      </c>
      <c r="J293" s="231" t="s">
        <v>474</v>
      </c>
      <c r="K293" s="231">
        <f>SUMIF('CF.1'!$D:$D,CFS!G293,'CF.1'!$T:$T)</f>
        <v>-2329330151</v>
      </c>
      <c r="L293" s="231">
        <f t="shared" si="18"/>
        <v>-2329330151</v>
      </c>
      <c r="M293" s="234">
        <f t="shared" si="19"/>
        <v>0</v>
      </c>
      <c r="O293" s="230"/>
      <c r="P293" s="231"/>
      <c r="Q293" s="232"/>
    </row>
    <row r="294" spans="4:17" ht="18" customHeight="1">
      <c r="D294" s="233">
        <v>2020</v>
      </c>
      <c r="E294" s="231">
        <v>12</v>
      </c>
      <c r="F294" s="231" t="s">
        <v>633</v>
      </c>
      <c r="G294" s="231" t="s">
        <v>1310</v>
      </c>
      <c r="H294" s="231" t="s">
        <v>1311</v>
      </c>
      <c r="I294" s="231">
        <v>3</v>
      </c>
      <c r="J294" s="231" t="s">
        <v>474</v>
      </c>
      <c r="K294" s="231">
        <f>SUMIF('CF.1'!$D:$D,CFS!G294,'CF.1'!$T:$T)</f>
        <v>0</v>
      </c>
      <c r="L294" s="231">
        <f t="shared" si="18"/>
        <v>0</v>
      </c>
      <c r="M294" s="234">
        <f t="shared" si="19"/>
        <v>0</v>
      </c>
      <c r="O294" s="230"/>
      <c r="P294" s="231"/>
      <c r="Q294" s="232"/>
    </row>
    <row r="295" spans="4:17" ht="18" customHeight="1">
      <c r="D295" s="233">
        <v>2020</v>
      </c>
      <c r="E295" s="231">
        <v>12</v>
      </c>
      <c r="F295" s="231" t="s">
        <v>633</v>
      </c>
      <c r="G295" s="231" t="s">
        <v>1579</v>
      </c>
      <c r="H295" s="231" t="s">
        <v>1580</v>
      </c>
      <c r="I295" s="231">
        <v>3</v>
      </c>
      <c r="J295" s="231" t="s">
        <v>474</v>
      </c>
      <c r="K295" s="231">
        <f>SUMIF('CF.1'!$D:$D,CFS!G295,'CF.1'!$T:$T)</f>
        <v>0</v>
      </c>
      <c r="L295" s="231">
        <f t="shared" si="18"/>
        <v>0</v>
      </c>
      <c r="M295" s="234">
        <f t="shared" si="19"/>
        <v>0</v>
      </c>
      <c r="O295" s="230"/>
      <c r="P295" s="231"/>
      <c r="Q295" s="232"/>
    </row>
    <row r="296" spans="4:17" ht="18" customHeight="1">
      <c r="D296" s="233">
        <v>2020</v>
      </c>
      <c r="E296" s="231">
        <v>12</v>
      </c>
      <c r="F296" s="231" t="s">
        <v>633</v>
      </c>
      <c r="G296" s="231" t="s">
        <v>1314</v>
      </c>
      <c r="H296" s="231" t="s">
        <v>1315</v>
      </c>
      <c r="I296" s="231">
        <v>3</v>
      </c>
      <c r="J296" s="231" t="s">
        <v>474</v>
      </c>
      <c r="K296" s="231">
        <f>SUMIF('CF.1'!$D:$D,CFS!G296,'CF.1'!$T:$T)</f>
        <v>0</v>
      </c>
      <c r="L296" s="231">
        <f t="shared" si="18"/>
        <v>0</v>
      </c>
      <c r="M296" s="234">
        <f t="shared" si="19"/>
        <v>0</v>
      </c>
      <c r="O296" s="230"/>
      <c r="P296" s="231"/>
      <c r="Q296" s="232"/>
    </row>
    <row r="297" spans="4:17" ht="18" customHeight="1">
      <c r="D297" s="227">
        <v>2020</v>
      </c>
      <c r="E297" s="228">
        <v>12</v>
      </c>
      <c r="F297" s="228" t="s">
        <v>633</v>
      </c>
      <c r="G297" s="228" t="s">
        <v>1316</v>
      </c>
      <c r="H297" s="228" t="s">
        <v>1317</v>
      </c>
      <c r="I297" s="228">
        <v>1</v>
      </c>
      <c r="J297" s="228" t="s">
        <v>474</v>
      </c>
      <c r="K297" s="228">
        <f t="shared" ref="K297:M298" si="20">K298</f>
        <v>-2053197267</v>
      </c>
      <c r="L297" s="228">
        <f t="shared" si="20"/>
        <v>-2053197267</v>
      </c>
      <c r="M297" s="229">
        <f t="shared" si="20"/>
        <v>0</v>
      </c>
      <c r="O297" s="230"/>
      <c r="P297" s="231"/>
      <c r="Q297" s="232"/>
    </row>
    <row r="298" spans="4:17" ht="18" customHeight="1">
      <c r="D298" s="227">
        <v>2020</v>
      </c>
      <c r="E298" s="228">
        <v>12</v>
      </c>
      <c r="F298" s="228" t="s">
        <v>633</v>
      </c>
      <c r="G298" s="228" t="s">
        <v>1318</v>
      </c>
      <c r="H298" s="228" t="s">
        <v>1317</v>
      </c>
      <c r="I298" s="228">
        <v>2</v>
      </c>
      <c r="J298" s="228" t="s">
        <v>474</v>
      </c>
      <c r="K298" s="228">
        <f t="shared" si="20"/>
        <v>-2053197267</v>
      </c>
      <c r="L298" s="228">
        <f t="shared" si="20"/>
        <v>-2053197267</v>
      </c>
      <c r="M298" s="229">
        <f t="shared" si="20"/>
        <v>0</v>
      </c>
      <c r="O298" s="230"/>
      <c r="P298" s="231"/>
      <c r="Q298" s="232"/>
    </row>
    <row r="299" spans="4:17" ht="18" customHeight="1">
      <c r="D299" s="233">
        <v>2020</v>
      </c>
      <c r="E299" s="231">
        <v>12</v>
      </c>
      <c r="F299" s="231" t="s">
        <v>633</v>
      </c>
      <c r="G299" s="231" t="s">
        <v>1319</v>
      </c>
      <c r="H299" s="231" t="s">
        <v>1320</v>
      </c>
      <c r="I299" s="231">
        <v>3</v>
      </c>
      <c r="J299" s="231" t="s">
        <v>474</v>
      </c>
      <c r="K299" s="231">
        <f>SUMIF('CF.1'!$D:$D,CFS!G299,'CF.1'!$T:$T)</f>
        <v>-2053197267</v>
      </c>
      <c r="L299" s="231">
        <f>K299</f>
        <v>-2053197267</v>
      </c>
      <c r="M299" s="234">
        <f t="shared" si="19"/>
        <v>0</v>
      </c>
      <c r="O299" s="230"/>
      <c r="P299" s="231"/>
      <c r="Q299" s="232"/>
    </row>
    <row r="300" spans="4:17" ht="18" customHeight="1">
      <c r="D300" s="227">
        <v>2020</v>
      </c>
      <c r="E300" s="228">
        <v>12</v>
      </c>
      <c r="F300" s="228" t="s">
        <v>633</v>
      </c>
      <c r="G300" s="228" t="s">
        <v>1321</v>
      </c>
      <c r="H300" s="228" t="s">
        <v>1581</v>
      </c>
      <c r="I300" s="228">
        <v>1</v>
      </c>
      <c r="J300" s="228" t="s">
        <v>474</v>
      </c>
      <c r="K300" s="228">
        <f t="shared" ref="K300:M301" si="21">K301</f>
        <v>0</v>
      </c>
      <c r="L300" s="228">
        <f t="shared" si="21"/>
        <v>0</v>
      </c>
      <c r="M300" s="229">
        <f t="shared" si="21"/>
        <v>0</v>
      </c>
      <c r="O300" s="230"/>
      <c r="P300" s="231"/>
      <c r="Q300" s="232"/>
    </row>
    <row r="301" spans="4:17" ht="18" customHeight="1">
      <c r="D301" s="227">
        <v>2020</v>
      </c>
      <c r="E301" s="228">
        <v>12</v>
      </c>
      <c r="F301" s="228" t="s">
        <v>633</v>
      </c>
      <c r="G301" s="228" t="s">
        <v>1323</v>
      </c>
      <c r="H301" s="228" t="s">
        <v>1581</v>
      </c>
      <c r="I301" s="228">
        <v>2</v>
      </c>
      <c r="J301" s="228" t="s">
        <v>474</v>
      </c>
      <c r="K301" s="228">
        <f t="shared" si="21"/>
        <v>0</v>
      </c>
      <c r="L301" s="228">
        <f t="shared" si="21"/>
        <v>0</v>
      </c>
      <c r="M301" s="229">
        <f t="shared" si="21"/>
        <v>0</v>
      </c>
      <c r="O301" s="230"/>
      <c r="P301" s="231"/>
      <c r="Q301" s="232"/>
    </row>
    <row r="302" spans="4:17" ht="18" customHeight="1">
      <c r="D302" s="233">
        <v>2020</v>
      </c>
      <c r="E302" s="231">
        <v>12</v>
      </c>
      <c r="F302" s="231" t="s">
        <v>633</v>
      </c>
      <c r="G302" s="231" t="s">
        <v>1324</v>
      </c>
      <c r="H302" s="231" t="s">
        <v>1582</v>
      </c>
      <c r="I302" s="231">
        <v>3</v>
      </c>
      <c r="J302" s="231" t="s">
        <v>474</v>
      </c>
      <c r="K302" s="231">
        <f>SUMIF('CF.1'!$D:$D,CFS!G302,'CF.1'!$T:$T)</f>
        <v>0</v>
      </c>
      <c r="L302" s="231">
        <f>K302</f>
        <v>0</v>
      </c>
      <c r="M302" s="234">
        <f t="shared" ref="M302:M312" si="22">L302-K302</f>
        <v>0</v>
      </c>
      <c r="O302" s="230"/>
      <c r="P302" s="231"/>
      <c r="Q302" s="232"/>
    </row>
    <row r="303" spans="4:17" ht="18" customHeight="1">
      <c r="D303" s="227">
        <v>2020</v>
      </c>
      <c r="E303" s="228">
        <v>12</v>
      </c>
      <c r="F303" s="228" t="s">
        <v>633</v>
      </c>
      <c r="G303" s="228" t="s">
        <v>1326</v>
      </c>
      <c r="H303" s="228" t="s">
        <v>1327</v>
      </c>
      <c r="I303" s="228">
        <v>1</v>
      </c>
      <c r="J303" s="228" t="s">
        <v>474</v>
      </c>
      <c r="K303" s="228">
        <f>K297+K256+K152+K5</f>
        <v>8369814456</v>
      </c>
      <c r="L303" s="228">
        <f>L297+L256+L152+L5</f>
        <v>8369814456</v>
      </c>
      <c r="M303" s="229">
        <f t="shared" si="22"/>
        <v>0</v>
      </c>
      <c r="O303" s="230"/>
      <c r="P303" s="231"/>
      <c r="Q303" s="232"/>
    </row>
    <row r="304" spans="4:17" ht="18" customHeight="1">
      <c r="D304" s="227">
        <v>2020</v>
      </c>
      <c r="E304" s="228">
        <v>12</v>
      </c>
      <c r="F304" s="228" t="s">
        <v>633</v>
      </c>
      <c r="G304" s="228" t="s">
        <v>1328</v>
      </c>
      <c r="H304" s="228" t="s">
        <v>1329</v>
      </c>
      <c r="I304" s="228">
        <v>1</v>
      </c>
      <c r="J304" s="228" t="s">
        <v>474</v>
      </c>
      <c r="K304" s="228">
        <f>K305</f>
        <v>88901392676</v>
      </c>
      <c r="L304" s="228">
        <f>L305</f>
        <v>88901392676</v>
      </c>
      <c r="M304" s="229">
        <f t="shared" si="22"/>
        <v>0</v>
      </c>
      <c r="O304" s="230"/>
      <c r="P304" s="231"/>
      <c r="Q304" s="232"/>
    </row>
    <row r="305" spans="4:17" ht="18" customHeight="1">
      <c r="D305" s="227">
        <v>2020</v>
      </c>
      <c r="E305" s="228">
        <v>12</v>
      </c>
      <c r="F305" s="228" t="s">
        <v>633</v>
      </c>
      <c r="G305" s="228" t="s">
        <v>1330</v>
      </c>
      <c r="H305" s="228" t="s">
        <v>1329</v>
      </c>
      <c r="I305" s="228">
        <v>2</v>
      </c>
      <c r="J305" s="228" t="s">
        <v>474</v>
      </c>
      <c r="K305" s="228">
        <f>K306</f>
        <v>88901392676</v>
      </c>
      <c r="L305" s="228">
        <f>L306</f>
        <v>88901392676</v>
      </c>
      <c r="M305" s="229">
        <f t="shared" si="22"/>
        <v>0</v>
      </c>
      <c r="O305" s="230"/>
      <c r="P305" s="231"/>
      <c r="Q305" s="232"/>
    </row>
    <row r="306" spans="4:17" ht="18" customHeight="1">
      <c r="D306" s="233">
        <v>2020</v>
      </c>
      <c r="E306" s="231">
        <v>12</v>
      </c>
      <c r="F306" s="231" t="s">
        <v>633</v>
      </c>
      <c r="G306" s="231" t="s">
        <v>1331</v>
      </c>
      <c r="H306" s="231" t="s">
        <v>1332</v>
      </c>
      <c r="I306" s="231">
        <v>3</v>
      </c>
      <c r="J306" s="231" t="s">
        <v>474</v>
      </c>
      <c r="K306" s="231">
        <f>SUMIF('CF.1'!$D:$D,CFS!G306,'CF.1'!$T:$T)</f>
        <v>88901392676</v>
      </c>
      <c r="L306" s="231">
        <f>K306</f>
        <v>88901392676</v>
      </c>
      <c r="M306" s="234">
        <f t="shared" si="22"/>
        <v>0</v>
      </c>
      <c r="O306" s="230">
        <v>88901392676</v>
      </c>
      <c r="P306" s="231">
        <f>O306-L306</f>
        <v>0</v>
      </c>
      <c r="Q306" s="232"/>
    </row>
    <row r="307" spans="4:17" ht="18" customHeight="1">
      <c r="D307" s="227">
        <v>2020</v>
      </c>
      <c r="E307" s="228">
        <v>12</v>
      </c>
      <c r="F307" s="228" t="s">
        <v>633</v>
      </c>
      <c r="G307" s="228" t="s">
        <v>1333</v>
      </c>
      <c r="H307" s="228" t="s">
        <v>1334</v>
      </c>
      <c r="I307" s="228">
        <v>1</v>
      </c>
      <c r="J307" s="228" t="s">
        <v>474</v>
      </c>
      <c r="K307" s="228">
        <f t="shared" ref="K307:M308" si="23">K308</f>
        <v>97271207132</v>
      </c>
      <c r="L307" s="228">
        <f t="shared" si="23"/>
        <v>97271207132</v>
      </c>
      <c r="M307" s="229">
        <f t="shared" si="23"/>
        <v>0</v>
      </c>
      <c r="O307" s="230"/>
      <c r="P307" s="231"/>
      <c r="Q307" s="232"/>
    </row>
    <row r="308" spans="4:17" ht="18" customHeight="1">
      <c r="D308" s="227">
        <v>2020</v>
      </c>
      <c r="E308" s="228">
        <v>12</v>
      </c>
      <c r="F308" s="228" t="s">
        <v>633</v>
      </c>
      <c r="G308" s="228" t="s">
        <v>1335</v>
      </c>
      <c r="H308" s="228" t="s">
        <v>1334</v>
      </c>
      <c r="I308" s="228">
        <v>2</v>
      </c>
      <c r="J308" s="228" t="s">
        <v>474</v>
      </c>
      <c r="K308" s="228">
        <f t="shared" si="23"/>
        <v>97271207132</v>
      </c>
      <c r="L308" s="228">
        <f t="shared" si="23"/>
        <v>97271207132</v>
      </c>
      <c r="M308" s="229">
        <f t="shared" si="23"/>
        <v>0</v>
      </c>
      <c r="O308" s="230"/>
      <c r="P308" s="231"/>
      <c r="Q308" s="232"/>
    </row>
    <row r="309" spans="4:17" ht="18" customHeight="1">
      <c r="D309" s="233">
        <v>2020</v>
      </c>
      <c r="E309" s="231">
        <v>12</v>
      </c>
      <c r="F309" s="231" t="s">
        <v>633</v>
      </c>
      <c r="G309" s="231" t="s">
        <v>1336</v>
      </c>
      <c r="H309" s="231" t="s">
        <v>1337</v>
      </c>
      <c r="I309" s="231">
        <v>3</v>
      </c>
      <c r="J309" s="231" t="s">
        <v>474</v>
      </c>
      <c r="K309" s="231">
        <f>SUMIF('CF.1'!$D:$D,CFS!G309,'CF.1'!$T:$T)</f>
        <v>97271207132</v>
      </c>
      <c r="L309" s="231">
        <f>K309</f>
        <v>97271207132</v>
      </c>
      <c r="M309" s="234">
        <f t="shared" si="22"/>
        <v>0</v>
      </c>
      <c r="O309" s="230">
        <f>T198_TB!L5+T198_TB!L6</f>
        <v>97271207132</v>
      </c>
      <c r="P309" s="231">
        <f>O309-L309</f>
        <v>0</v>
      </c>
      <c r="Q309" s="232"/>
    </row>
    <row r="310" spans="4:17" ht="18" customHeight="1">
      <c r="D310" s="227">
        <v>2020</v>
      </c>
      <c r="E310" s="228">
        <v>12</v>
      </c>
      <c r="F310" s="228" t="s">
        <v>633</v>
      </c>
      <c r="G310" s="228" t="s">
        <v>1338</v>
      </c>
      <c r="H310" s="228" t="s">
        <v>1339</v>
      </c>
      <c r="I310" s="228">
        <v>1</v>
      </c>
      <c r="J310" s="228" t="s">
        <v>474</v>
      </c>
      <c r="K310" s="228">
        <v>0</v>
      </c>
      <c r="L310" s="228">
        <v>0</v>
      </c>
      <c r="M310" s="229">
        <f t="shared" si="22"/>
        <v>0</v>
      </c>
      <c r="O310" s="230"/>
      <c r="P310" s="231"/>
      <c r="Q310" s="232"/>
    </row>
    <row r="311" spans="4:17" ht="18" customHeight="1">
      <c r="D311" s="227">
        <v>2020</v>
      </c>
      <c r="E311" s="228">
        <v>12</v>
      </c>
      <c r="F311" s="228" t="s">
        <v>633</v>
      </c>
      <c r="G311" s="228" t="s">
        <v>1340</v>
      </c>
      <c r="H311" s="228" t="s">
        <v>1339</v>
      </c>
      <c r="I311" s="228">
        <v>2</v>
      </c>
      <c r="J311" s="228" t="s">
        <v>474</v>
      </c>
      <c r="K311" s="228">
        <v>0</v>
      </c>
      <c r="L311" s="228">
        <v>0</v>
      </c>
      <c r="M311" s="229">
        <f t="shared" si="22"/>
        <v>0</v>
      </c>
      <c r="O311" s="230"/>
      <c r="P311" s="231"/>
      <c r="Q311" s="232"/>
    </row>
    <row r="312" spans="4:17" ht="18" customHeight="1" thickBot="1">
      <c r="D312" s="244">
        <v>2020</v>
      </c>
      <c r="E312" s="245">
        <v>12</v>
      </c>
      <c r="F312" s="245" t="s">
        <v>633</v>
      </c>
      <c r="G312" s="245" t="s">
        <v>1341</v>
      </c>
      <c r="H312" s="245" t="s">
        <v>1342</v>
      </c>
      <c r="I312" s="245">
        <v>3</v>
      </c>
      <c r="J312" s="245" t="s">
        <v>474</v>
      </c>
      <c r="K312" s="245">
        <f>SUMIF('CF.1'!$D:$D,CFS!G312,'CF.1'!$T:$T)</f>
        <v>0</v>
      </c>
      <c r="L312" s="231">
        <f>K312</f>
        <v>0</v>
      </c>
      <c r="M312" s="246">
        <f t="shared" si="22"/>
        <v>0</v>
      </c>
      <c r="O312" s="247"/>
      <c r="P312" s="245"/>
      <c r="Q312" s="248"/>
    </row>
    <row r="313" spans="4:17" ht="18" customHeight="1" thickBot="1">
      <c r="D313" s="249"/>
      <c r="E313" s="250"/>
      <c r="F313" s="250"/>
      <c r="G313" s="250"/>
      <c r="H313" s="250"/>
      <c r="I313" s="250"/>
      <c r="J313" s="250"/>
      <c r="K313" s="250">
        <f>K303+K304-K309</f>
        <v>0</v>
      </c>
      <c r="L313" s="250">
        <f>L303+L304-L309</f>
        <v>0</v>
      </c>
      <c r="M313" s="251"/>
    </row>
  </sheetData>
  <autoFilter ref="D4:M313" xr:uid="{00000000-0009-0000-0000-00000E000000}"/>
  <phoneticPr fontId="2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002060"/>
  </sheetPr>
  <dimension ref="C1:AA173"/>
  <sheetViews>
    <sheetView showGridLines="0" zoomScale="85" zoomScaleNormal="85" workbookViewId="0">
      <pane xSplit="4" ySplit="5" topLeftCell="E6" activePane="bottomRight" state="frozen"/>
      <selection activeCell="F37" sqref="F37"/>
      <selection pane="topRight" activeCell="F37" sqref="F37"/>
      <selection pane="bottomLeft" activeCell="F37" sqref="F37"/>
      <selection pane="bottomRight" activeCell="A10" sqref="A10"/>
    </sheetView>
  </sheetViews>
  <sheetFormatPr defaultColWidth="8.75" defaultRowHeight="18" customHeight="1"/>
  <cols>
    <col min="1" max="2" width="2.375" style="5" customWidth="1"/>
    <col min="3" max="3" width="6.375" style="253" customWidth="1"/>
    <col min="4" max="4" width="11.125" style="535" customWidth="1"/>
    <col min="5" max="5" width="25.375" style="5" customWidth="1"/>
    <col min="6" max="7" width="13.625" style="5" bestFit="1" customWidth="1"/>
    <col min="8" max="8" width="21.75" style="5" bestFit="1" customWidth="1"/>
    <col min="9" max="9" width="13.625" style="5" bestFit="1" customWidth="1"/>
    <col min="10" max="10" width="11.875" style="5" customWidth="1"/>
    <col min="11" max="11" width="13.625" style="5" bestFit="1" customWidth="1"/>
    <col min="12" max="12" width="16.875" style="5" customWidth="1"/>
    <col min="13" max="13" width="11.75" style="5" customWidth="1"/>
    <col min="14" max="14" width="16.875" style="5" customWidth="1"/>
    <col min="15" max="15" width="17.625" style="5" customWidth="1"/>
    <col min="16" max="16" width="12.75" style="5" customWidth="1"/>
    <col min="17" max="17" width="14.25" style="5" customWidth="1"/>
    <col min="18" max="18" width="15.625" style="5" customWidth="1"/>
    <col min="19" max="19" width="16.375" style="5" customWidth="1"/>
    <col min="20" max="20" width="12.75" style="5" customWidth="1"/>
    <col min="21" max="21" width="14.25" style="5" customWidth="1"/>
    <col min="22" max="22" width="16.875" style="5" customWidth="1"/>
    <col min="23" max="23" width="17.625" style="5" customWidth="1"/>
    <col min="24" max="24" width="16.875" style="5" customWidth="1"/>
    <col min="25" max="25" width="17.625" style="5" customWidth="1"/>
    <col min="26" max="26" width="14.625" style="5" bestFit="1" customWidth="1"/>
    <col min="27" max="27" width="14.5" style="5" bestFit="1" customWidth="1"/>
    <col min="28" max="16384" width="8.75" style="5"/>
  </cols>
  <sheetData>
    <row r="1" spans="3:27" ht="18" customHeight="1">
      <c r="I1" s="5">
        <f>+$F1-$G1</f>
        <v>0</v>
      </c>
      <c r="J1" s="5">
        <f>+$G1-$F1</f>
        <v>0</v>
      </c>
      <c r="K1" s="5">
        <f>+$G1-$F1</f>
        <v>0</v>
      </c>
      <c r="L1" s="5">
        <f>+$G1-$F1</f>
        <v>0</v>
      </c>
      <c r="N1" s="5" t="s">
        <v>1356</v>
      </c>
      <c r="O1" s="5">
        <v>26362637502</v>
      </c>
      <c r="P1" s="5">
        <f>+O1-K3</f>
        <v>30670256042</v>
      </c>
    </row>
    <row r="2" spans="3:27" ht="18" customHeight="1">
      <c r="N2" s="5" t="s">
        <v>1354</v>
      </c>
      <c r="O2" s="5">
        <v>1258063162</v>
      </c>
    </row>
    <row r="3" spans="3:27" ht="18" customHeight="1">
      <c r="I3" s="5">
        <f>SUBTOTAL(9,I$6:I$173)</f>
        <v>-1624658581</v>
      </c>
      <c r="J3" s="5">
        <f>SUBTOTAL(9,J$6:J$173)</f>
        <v>1852533634</v>
      </c>
      <c r="K3" s="5">
        <f>SUBTOTAL(9,K$6:K$173)</f>
        <v>-4307618540</v>
      </c>
      <c r="L3" s="5">
        <f>SUBTOTAL(9,L$6:L$173)</f>
        <v>1039340140</v>
      </c>
    </row>
    <row r="4" spans="3:27" s="26" customFormat="1" ht="18" customHeight="1" thickBot="1">
      <c r="C4" s="220"/>
      <c r="D4" s="536"/>
      <c r="E4" s="5"/>
      <c r="F4" s="5">
        <f>SUM(F6:F173)</f>
        <v>79307757784</v>
      </c>
      <c r="G4" s="5">
        <f>SUM(G6:G173)</f>
        <v>79311691177</v>
      </c>
      <c r="H4" s="5">
        <f>+F4-G4</f>
        <v>-3933393</v>
      </c>
      <c r="I4" s="5">
        <f>SUM(I6:I173)</f>
        <v>-1624658581</v>
      </c>
      <c r="J4" s="5">
        <f>SUM(J6:J173)</f>
        <v>1852533634</v>
      </c>
      <c r="K4" s="5">
        <f>SUM(K6:K173)</f>
        <v>-4307618540</v>
      </c>
      <c r="L4" s="5">
        <f>SUM(L6:L173)</f>
        <v>1039340140</v>
      </c>
      <c r="M4" s="5"/>
      <c r="N4" s="5"/>
      <c r="O4" s="5"/>
      <c r="P4" s="5"/>
    </row>
    <row r="5" spans="3:27" ht="18" customHeight="1">
      <c r="C5" s="392" t="s">
        <v>1933</v>
      </c>
      <c r="D5" s="537" t="s">
        <v>1919</v>
      </c>
      <c r="E5" s="392" t="s">
        <v>1907</v>
      </c>
      <c r="F5" s="392" t="s">
        <v>1909</v>
      </c>
      <c r="G5" s="392" t="s">
        <v>1910</v>
      </c>
      <c r="H5" s="392" t="s">
        <v>1920</v>
      </c>
      <c r="I5" s="392" t="s">
        <v>1940</v>
      </c>
      <c r="J5" s="392" t="s">
        <v>1935</v>
      </c>
      <c r="K5" s="392" t="s">
        <v>1936</v>
      </c>
      <c r="L5" s="392" t="s">
        <v>1937</v>
      </c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</row>
    <row r="6" spans="3:27" ht="18" customHeight="1">
      <c r="C6" s="538" t="s">
        <v>1938</v>
      </c>
      <c r="D6" s="539" t="str">
        <f>+'1.0'!D6</f>
        <v>CS합병시 주식할인차금 제거 (2015년)</v>
      </c>
      <c r="E6" s="401"/>
      <c r="F6" s="401"/>
      <c r="G6" s="401"/>
      <c r="H6" s="40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</row>
    <row r="7" spans="3:27" ht="18" customHeight="1">
      <c r="C7" s="403" t="s">
        <v>1938</v>
      </c>
      <c r="D7" s="540" t="str">
        <f>+'1.0'!D7</f>
        <v>125650</v>
      </c>
      <c r="E7" s="404" t="str">
        <f>+'1.0'!E7</f>
        <v>영업권</v>
      </c>
      <c r="F7" s="404">
        <v>19842800</v>
      </c>
      <c r="G7" s="404">
        <v>0</v>
      </c>
      <c r="H7" s="404"/>
      <c r="I7" s="541">
        <f>+$F7-$G7</f>
        <v>19842800</v>
      </c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</row>
    <row r="8" spans="3:27" s="238" customFormat="1" ht="18" customHeight="1">
      <c r="C8" s="403" t="s">
        <v>1938</v>
      </c>
      <c r="D8" s="540" t="str">
        <f>+'1.0'!D8</f>
        <v>320300</v>
      </c>
      <c r="E8" s="404" t="str">
        <f>+'1.0'!E8</f>
        <v>기타자본잉여금</v>
      </c>
      <c r="F8" s="404">
        <v>0</v>
      </c>
      <c r="G8" s="404">
        <v>19842800</v>
      </c>
      <c r="H8" s="404"/>
      <c r="I8" s="5"/>
      <c r="J8" s="5"/>
      <c r="K8" s="541">
        <f>+G8</f>
        <v>19842800</v>
      </c>
      <c r="L8" s="5"/>
      <c r="M8" s="5"/>
      <c r="N8" s="5"/>
      <c r="O8" s="5"/>
      <c r="P8" s="5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1"/>
    </row>
    <row r="9" spans="3:27" s="238" customFormat="1" ht="18" customHeight="1">
      <c r="C9" s="538" t="s">
        <v>1938</v>
      </c>
      <c r="D9" s="539" t="str">
        <f>+'1.0'!D9</f>
        <v>합병차익취소</v>
      </c>
      <c r="E9" s="401"/>
      <c r="F9" s="401"/>
      <c r="G9" s="401"/>
      <c r="H9" s="401"/>
      <c r="I9" s="5"/>
      <c r="J9" s="5"/>
      <c r="K9" s="5"/>
      <c r="L9" s="5"/>
      <c r="M9" s="5"/>
      <c r="N9" s="5"/>
      <c r="O9" s="5"/>
      <c r="P9" s="5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</row>
    <row r="10" spans="3:27" s="238" customFormat="1" ht="18" customHeight="1">
      <c r="C10" s="403" t="s">
        <v>1938</v>
      </c>
      <c r="D10" s="540" t="str">
        <f>+'1.0'!D10</f>
        <v>320300</v>
      </c>
      <c r="E10" s="404" t="str">
        <f>+'1.0'!E10</f>
        <v>기타자본잉여금</v>
      </c>
      <c r="F10" s="404">
        <v>368242282</v>
      </c>
      <c r="G10" s="404">
        <v>0</v>
      </c>
      <c r="H10" s="404"/>
      <c r="I10" s="5"/>
      <c r="J10" s="5"/>
      <c r="K10" s="541">
        <f>-F10</f>
        <v>-368242282</v>
      </c>
      <c r="L10" s="5"/>
      <c r="M10" s="5"/>
      <c r="N10" s="5"/>
      <c r="O10" s="5"/>
      <c r="P10" s="5"/>
      <c r="Q10" s="341"/>
      <c r="R10" s="341"/>
      <c r="S10" s="341"/>
      <c r="T10" s="341"/>
      <c r="U10" s="341"/>
      <c r="V10" s="341"/>
      <c r="W10" s="341"/>
      <c r="X10" s="341"/>
      <c r="Y10" s="341"/>
      <c r="Z10" s="341"/>
      <c r="AA10" s="341"/>
    </row>
    <row r="11" spans="3:27" s="238" customFormat="1" ht="18" customHeight="1">
      <c r="C11" s="403" t="s">
        <v>1938</v>
      </c>
      <c r="D11" s="540" t="str">
        <f>+'1.0'!D11</f>
        <v>340100</v>
      </c>
      <c r="E11" s="404" t="str">
        <f>+'1.0'!E11</f>
        <v>전기이월이익잉여금</v>
      </c>
      <c r="F11" s="404">
        <v>0</v>
      </c>
      <c r="G11" s="404">
        <v>368242282</v>
      </c>
      <c r="H11" s="404"/>
      <c r="I11" s="5"/>
      <c r="J11" s="5"/>
      <c r="K11" s="5">
        <f>+G11</f>
        <v>368242282</v>
      </c>
      <c r="L11" s="5"/>
      <c r="M11" s="5"/>
      <c r="N11" s="5"/>
      <c r="O11" s="5"/>
      <c r="P11" s="5"/>
      <c r="Q11" s="341"/>
      <c r="R11" s="341"/>
      <c r="S11" s="341"/>
      <c r="T11" s="341"/>
      <c r="U11" s="341"/>
      <c r="V11" s="341"/>
      <c r="W11" s="341"/>
      <c r="X11" s="341"/>
      <c r="Y11" s="341"/>
      <c r="Z11" s="341"/>
      <c r="AA11" s="341"/>
    </row>
    <row r="12" spans="3:27" s="238" customFormat="1" ht="18" customHeight="1">
      <c r="C12" s="403" t="s">
        <v>1938</v>
      </c>
      <c r="D12" s="540" t="str">
        <f>+'1.0'!D12</f>
        <v>320300</v>
      </c>
      <c r="E12" s="404" t="str">
        <f>+'1.0'!E12</f>
        <v>기타자본잉여금</v>
      </c>
      <c r="F12" s="404">
        <v>622390102</v>
      </c>
      <c r="G12" s="404">
        <v>0</v>
      </c>
      <c r="H12" s="404"/>
      <c r="I12" s="5"/>
      <c r="J12" s="5"/>
      <c r="K12" s="541">
        <f>-F12</f>
        <v>-622390102</v>
      </c>
      <c r="L12" s="5"/>
      <c r="M12" s="5"/>
      <c r="N12" s="5"/>
      <c r="O12" s="5"/>
      <c r="P12" s="5"/>
      <c r="Q12" s="341"/>
      <c r="R12" s="341"/>
      <c r="S12" s="341"/>
      <c r="T12" s="341"/>
      <c r="U12" s="341"/>
      <c r="V12" s="341"/>
      <c r="W12" s="341"/>
      <c r="X12" s="341"/>
      <c r="Y12" s="341"/>
      <c r="Z12" s="341"/>
      <c r="AA12" s="341"/>
    </row>
    <row r="13" spans="3:27" s="238" customFormat="1" ht="18" customHeight="1">
      <c r="C13" s="403" t="s">
        <v>1938</v>
      </c>
      <c r="D13" s="540" t="str">
        <f>+'1.0'!D13</f>
        <v>350951</v>
      </c>
      <c r="E13" s="404" t="str">
        <f>+'1.0'!E13</f>
        <v>보험수리적이익</v>
      </c>
      <c r="F13" s="404">
        <v>0</v>
      </c>
      <c r="G13" s="404">
        <v>622390102</v>
      </c>
      <c r="H13" s="404"/>
      <c r="I13" s="5"/>
      <c r="J13" s="5"/>
      <c r="K13" s="541">
        <f>+G13</f>
        <v>622390102</v>
      </c>
      <c r="L13" s="5"/>
      <c r="M13" s="5"/>
      <c r="N13" s="5"/>
      <c r="O13" s="5"/>
      <c r="P13" s="5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</row>
    <row r="14" spans="3:27" s="238" customFormat="1" ht="18" customHeight="1">
      <c r="C14" s="538" t="s">
        <v>1938</v>
      </c>
      <c r="D14" s="539" t="str">
        <f>+'1.0'!D14</f>
        <v>ICS 합병시 처리</v>
      </c>
      <c r="E14" s="401"/>
      <c r="F14" s="401"/>
      <c r="G14" s="401"/>
      <c r="H14" s="401"/>
      <c r="I14" s="5"/>
      <c r="J14" s="5"/>
      <c r="K14" s="5"/>
      <c r="L14" s="5"/>
      <c r="M14" s="5"/>
      <c r="N14" s="5"/>
      <c r="O14" s="5"/>
      <c r="P14" s="5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</row>
    <row r="15" spans="3:27" s="238" customFormat="1" ht="18" customHeight="1">
      <c r="C15" s="403" t="s">
        <v>1938</v>
      </c>
      <c r="D15" s="540" t="str">
        <f>+'1.0'!D15</f>
        <v>320300</v>
      </c>
      <c r="E15" s="404" t="str">
        <f>+'1.0'!E15</f>
        <v>기타자본잉여금</v>
      </c>
      <c r="F15" s="404">
        <v>0</v>
      </c>
      <c r="G15" s="404">
        <v>892464079</v>
      </c>
      <c r="H15" s="404"/>
      <c r="I15" s="5"/>
      <c r="J15" s="5"/>
      <c r="K15" s="541">
        <f>+G15</f>
        <v>892464079</v>
      </c>
      <c r="L15" s="5"/>
      <c r="M15" s="5"/>
      <c r="N15" s="5"/>
      <c r="O15" s="5"/>
      <c r="P15" s="5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</row>
    <row r="16" spans="3:27" s="238" customFormat="1" ht="18" customHeight="1">
      <c r="C16" s="403" t="s">
        <v>1938</v>
      </c>
      <c r="D16" s="540" t="str">
        <f>+'1.0'!D16</f>
        <v>340100</v>
      </c>
      <c r="E16" s="404" t="str">
        <f>+'1.0'!E16</f>
        <v>전기이월이익잉여금</v>
      </c>
      <c r="F16" s="404">
        <v>892464079</v>
      </c>
      <c r="G16" s="404">
        <v>0</v>
      </c>
      <c r="H16" s="404"/>
      <c r="I16" s="5"/>
      <c r="J16" s="5"/>
      <c r="K16" s="5">
        <f>-F16</f>
        <v>-892464079</v>
      </c>
      <c r="L16" s="5"/>
      <c r="M16" s="5"/>
      <c r="N16" s="5"/>
      <c r="O16" s="5"/>
      <c r="P16" s="5"/>
      <c r="Q16" s="341"/>
      <c r="R16" s="341"/>
      <c r="S16" s="341"/>
      <c r="T16" s="341"/>
      <c r="U16" s="341"/>
      <c r="V16" s="341"/>
      <c r="W16" s="341"/>
      <c r="X16" s="341"/>
      <c r="Y16" s="341"/>
      <c r="Z16" s="341"/>
      <c r="AA16" s="341"/>
    </row>
    <row r="17" spans="3:27" s="238" customFormat="1" ht="18" customHeight="1">
      <c r="C17" s="538" t="s">
        <v>1938</v>
      </c>
      <c r="D17" s="539" t="str">
        <f>+'1.0'!D17</f>
        <v>MPMAN 합병시 처리</v>
      </c>
      <c r="E17" s="401"/>
      <c r="F17" s="401"/>
      <c r="G17" s="401"/>
      <c r="H17" s="401"/>
      <c r="I17" s="5"/>
      <c r="J17" s="5"/>
      <c r="K17" s="5"/>
      <c r="L17" s="5"/>
      <c r="M17" s="5"/>
      <c r="N17" s="5"/>
      <c r="O17" s="5"/>
      <c r="P17" s="5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</row>
    <row r="18" spans="3:27" s="238" customFormat="1" ht="18" customHeight="1">
      <c r="C18" s="403" t="s">
        <v>1938</v>
      </c>
      <c r="D18" s="540" t="str">
        <f>+'1.0'!D18</f>
        <v>320300</v>
      </c>
      <c r="E18" s="404" t="str">
        <f>+'1.0'!E18</f>
        <v>기타자본잉여금</v>
      </c>
      <c r="F18" s="404">
        <v>10952617</v>
      </c>
      <c r="G18" s="404">
        <v>0</v>
      </c>
      <c r="H18" s="404"/>
      <c r="I18" s="5"/>
      <c r="J18" s="5"/>
      <c r="K18" s="541">
        <f>-F18</f>
        <v>-10952617</v>
      </c>
      <c r="L18" s="5"/>
      <c r="M18" s="5"/>
      <c r="N18" s="5"/>
      <c r="O18" s="5"/>
      <c r="P18" s="5"/>
      <c r="Q18" s="341"/>
      <c r="R18" s="341"/>
      <c r="S18" s="341"/>
      <c r="T18" s="341"/>
      <c r="U18" s="341"/>
      <c r="V18" s="341"/>
      <c r="W18" s="341"/>
      <c r="X18" s="341"/>
      <c r="Y18" s="341"/>
      <c r="Z18" s="341"/>
      <c r="AA18" s="341"/>
    </row>
    <row r="19" spans="3:27" s="238" customFormat="1" ht="18" customHeight="1">
      <c r="C19" s="403" t="s">
        <v>1938</v>
      </c>
      <c r="D19" s="540" t="str">
        <f>+'1.0'!D19</f>
        <v>340100</v>
      </c>
      <c r="E19" s="404" t="str">
        <f>+'1.0'!E19</f>
        <v>전기이월이익잉여금</v>
      </c>
      <c r="F19" s="404">
        <v>0</v>
      </c>
      <c r="G19" s="404">
        <v>10952617</v>
      </c>
      <c r="H19" s="404"/>
      <c r="I19" s="5"/>
      <c r="J19" s="5"/>
      <c r="K19" s="5">
        <f>+G19</f>
        <v>10952617</v>
      </c>
      <c r="L19" s="5"/>
      <c r="M19" s="5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341"/>
    </row>
    <row r="20" spans="3:27" s="238" customFormat="1" ht="18" customHeight="1">
      <c r="C20" s="403" t="s">
        <v>1938</v>
      </c>
      <c r="D20" s="540" t="str">
        <f>+'1.0'!D20</f>
        <v>320300</v>
      </c>
      <c r="E20" s="404" t="str">
        <f>+'1.0'!E20</f>
        <v>기타자본잉여금</v>
      </c>
      <c r="F20" s="404">
        <v>0</v>
      </c>
      <c r="G20" s="404">
        <v>349388</v>
      </c>
      <c r="H20" s="404"/>
      <c r="I20" s="5"/>
      <c r="J20" s="5"/>
      <c r="K20" s="541">
        <f>+G20</f>
        <v>349388</v>
      </c>
      <c r="L20" s="5"/>
      <c r="M20" s="5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41"/>
    </row>
    <row r="21" spans="3:27" s="238" customFormat="1" ht="18" customHeight="1">
      <c r="C21" s="403" t="s">
        <v>1938</v>
      </c>
      <c r="D21" s="540" t="str">
        <f>+'1.0'!D21</f>
        <v>340100</v>
      </c>
      <c r="E21" s="404" t="str">
        <f>+'1.0'!E21</f>
        <v>전기이월이익잉여금</v>
      </c>
      <c r="F21" s="404">
        <v>349388</v>
      </c>
      <c r="G21" s="404">
        <v>0</v>
      </c>
      <c r="H21" s="404"/>
      <c r="I21" s="5"/>
      <c r="J21" s="5"/>
      <c r="K21" s="5">
        <f>-F21</f>
        <v>-349388</v>
      </c>
      <c r="L21" s="5"/>
      <c r="M21" s="5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</row>
    <row r="22" spans="3:27" s="238" customFormat="1" ht="18" customHeight="1">
      <c r="C22" s="403" t="s">
        <v>1938</v>
      </c>
      <c r="D22" s="540" t="str">
        <f>+'1.0'!D22</f>
        <v>320300</v>
      </c>
      <c r="E22" s="404" t="str">
        <f>+'1.0'!E22</f>
        <v>기타자본잉여금</v>
      </c>
      <c r="F22" s="404">
        <v>29855787</v>
      </c>
      <c r="G22" s="404">
        <v>0</v>
      </c>
      <c r="H22" s="404"/>
      <c r="I22" s="5"/>
      <c r="J22" s="5"/>
      <c r="K22" s="541">
        <f>-F22</f>
        <v>-29855787</v>
      </c>
      <c r="L22" s="5"/>
      <c r="M22" s="5"/>
      <c r="N22" s="341"/>
      <c r="O22" s="341"/>
      <c r="P22" s="341"/>
      <c r="Q22" s="341"/>
      <c r="R22" s="341"/>
      <c r="S22" s="341"/>
      <c r="T22" s="341"/>
      <c r="U22" s="341"/>
      <c r="V22" s="341"/>
      <c r="W22" s="341"/>
      <c r="X22" s="341"/>
      <c r="Y22" s="341"/>
      <c r="Z22" s="341"/>
      <c r="AA22" s="341"/>
    </row>
    <row r="23" spans="3:27" s="238" customFormat="1" ht="18" customHeight="1">
      <c r="C23" s="403" t="s">
        <v>1938</v>
      </c>
      <c r="D23" s="540" t="str">
        <f>+'1.0'!D23</f>
        <v>340100</v>
      </c>
      <c r="E23" s="404" t="str">
        <f>+'1.0'!E23</f>
        <v>전기이월이익잉여금</v>
      </c>
      <c r="F23" s="404">
        <v>0</v>
      </c>
      <c r="G23" s="404">
        <v>29855787</v>
      </c>
      <c r="H23" s="404"/>
      <c r="I23" s="5"/>
      <c r="J23" s="5"/>
      <c r="K23" s="5">
        <f>+G23</f>
        <v>29855787</v>
      </c>
      <c r="L23" s="5"/>
      <c r="M23" s="5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1"/>
      <c r="AA23" s="341"/>
    </row>
    <row r="24" spans="3:27" s="238" customFormat="1" ht="18" customHeight="1">
      <c r="C24" s="403"/>
      <c r="D24" s="540"/>
      <c r="E24" s="404"/>
      <c r="F24" s="404"/>
      <c r="G24" s="404"/>
      <c r="H24" s="404"/>
      <c r="I24" s="5"/>
      <c r="J24" s="5"/>
      <c r="K24" s="5"/>
      <c r="L24" s="5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</row>
    <row r="25" spans="3:27" s="238" customFormat="1" ht="18" customHeight="1">
      <c r="C25" s="538">
        <v>2</v>
      </c>
      <c r="D25" s="539" t="str">
        <f>+'2.0'!D12</f>
        <v>미국법인매각</v>
      </c>
      <c r="E25" s="401"/>
      <c r="F25" s="401"/>
      <c r="G25" s="401"/>
      <c r="H25" s="401"/>
      <c r="I25" s="5"/>
      <c r="J25" s="5"/>
      <c r="K25" s="5"/>
      <c r="L25" s="5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341"/>
    </row>
    <row r="26" spans="3:27" s="238" customFormat="1" ht="18" customHeight="1">
      <c r="C26" s="403">
        <v>2</v>
      </c>
      <c r="D26" s="540" t="str">
        <f>+'2.0'!D13</f>
        <v>340100</v>
      </c>
      <c r="E26" s="404" t="str">
        <f>+'2.0'!E13</f>
        <v>이월이익잉여금</v>
      </c>
      <c r="F26" s="542">
        <v>0</v>
      </c>
      <c r="G26" s="542">
        <v>2590571062</v>
      </c>
      <c r="H26" s="404"/>
      <c r="I26" s="5"/>
      <c r="J26" s="5"/>
      <c r="K26" s="5">
        <f>+$G26-$F26</f>
        <v>2590571062</v>
      </c>
      <c r="L26" s="5"/>
      <c r="M26" s="238" t="s">
        <v>1934</v>
      </c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41"/>
    </row>
    <row r="27" spans="3:27" s="238" customFormat="1" ht="18" customHeight="1">
      <c r="C27" s="403">
        <v>2</v>
      </c>
      <c r="D27" s="540" t="str">
        <f>+'2.0'!D14</f>
        <v>연결IS_2</v>
      </c>
      <c r="E27" s="404" t="str">
        <f>+'2.0'!E14</f>
        <v>관계기업투자주식처분이익</v>
      </c>
      <c r="F27" s="542">
        <v>2590571062</v>
      </c>
      <c r="G27" s="542">
        <v>0</v>
      </c>
      <c r="H27" s="404"/>
      <c r="I27" s="5"/>
      <c r="J27" s="5"/>
      <c r="K27" s="5"/>
      <c r="L27" s="5">
        <f t="shared" ref="L27:L35" si="0">+$G27-$F27</f>
        <v>-2590571062</v>
      </c>
      <c r="M27" s="238" t="s">
        <v>1934</v>
      </c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41"/>
    </row>
    <row r="28" spans="3:27" s="238" customFormat="1" ht="18" customHeight="1">
      <c r="C28" s="403">
        <v>2</v>
      </c>
      <c r="D28" s="540" t="str">
        <f>+'2.0'!D15</f>
        <v>643000</v>
      </c>
      <c r="E28" s="404" t="str">
        <f>+'2.0'!E15</f>
        <v>대손상각비</v>
      </c>
      <c r="F28" s="542">
        <v>0</v>
      </c>
      <c r="G28" s="542">
        <v>920006498</v>
      </c>
      <c r="H28" s="404"/>
      <c r="I28" s="5"/>
      <c r="J28" s="5"/>
      <c r="K28" s="5"/>
      <c r="L28" s="5">
        <f t="shared" si="0"/>
        <v>920006498</v>
      </c>
      <c r="M28" s="238" t="s">
        <v>1934</v>
      </c>
      <c r="N28" s="341"/>
      <c r="O28" s="341"/>
      <c r="P28" s="341"/>
      <c r="Q28" s="341"/>
      <c r="R28" s="341"/>
      <c r="S28" s="341"/>
      <c r="T28" s="341"/>
      <c r="U28" s="341"/>
      <c r="V28" s="341"/>
      <c r="W28" s="341"/>
      <c r="X28" s="341"/>
      <c r="Y28" s="341"/>
      <c r="Z28" s="341"/>
      <c r="AA28" s="341"/>
    </row>
    <row r="29" spans="3:27" s="238" customFormat="1" ht="18" customHeight="1">
      <c r="C29" s="403">
        <v>2</v>
      </c>
      <c r="D29" s="540" t="str">
        <f>+'2.0'!D16</f>
        <v>연결IS_2</v>
      </c>
      <c r="E29" s="404" t="str">
        <f>+'2.0'!E16</f>
        <v>관계기업투자주식처분이익</v>
      </c>
      <c r="F29" s="542">
        <v>920006498</v>
      </c>
      <c r="G29" s="542">
        <v>0</v>
      </c>
      <c r="H29" s="404"/>
      <c r="I29" s="5"/>
      <c r="J29" s="5"/>
      <c r="K29" s="5"/>
      <c r="L29" s="5">
        <f t="shared" si="0"/>
        <v>-920006498</v>
      </c>
      <c r="M29" s="238" t="s">
        <v>1934</v>
      </c>
      <c r="N29" s="341"/>
      <c r="O29" s="341"/>
      <c r="P29" s="341"/>
      <c r="Q29" s="341"/>
      <c r="R29" s="341"/>
      <c r="S29" s="341"/>
      <c r="T29" s="341"/>
      <c r="U29" s="341"/>
      <c r="V29" s="341"/>
      <c r="W29" s="341"/>
      <c r="X29" s="341"/>
      <c r="Y29" s="341"/>
      <c r="Z29" s="341"/>
      <c r="AA29" s="341"/>
    </row>
    <row r="30" spans="3:27" s="238" customFormat="1" ht="18" customHeight="1">
      <c r="C30" s="403">
        <v>2</v>
      </c>
      <c r="D30" s="540" t="str">
        <f>+'2.0'!D17</f>
        <v>712800_1</v>
      </c>
      <c r="E30" s="404" t="str">
        <f>+'2.0'!E17</f>
        <v>채무면제이익</v>
      </c>
      <c r="F30" s="542">
        <v>3510577560</v>
      </c>
      <c r="G30" s="542">
        <v>0</v>
      </c>
      <c r="H30" s="404"/>
      <c r="I30" s="5"/>
      <c r="J30" s="5"/>
      <c r="K30" s="5"/>
      <c r="L30" s="5">
        <f t="shared" si="0"/>
        <v>-3510577560</v>
      </c>
      <c r="M30" s="238" t="s">
        <v>1934</v>
      </c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341"/>
    </row>
    <row r="31" spans="3:27" s="238" customFormat="1" ht="18" customHeight="1">
      <c r="C31" s="403">
        <v>2</v>
      </c>
      <c r="D31" s="540" t="str">
        <f>+'2.0'!D18</f>
        <v>연결IS_2</v>
      </c>
      <c r="E31" s="404" t="str">
        <f>+'2.0'!E18</f>
        <v>관계기업투자주식처분이익</v>
      </c>
      <c r="F31" s="542">
        <v>0</v>
      </c>
      <c r="G31" s="542">
        <v>3510577560</v>
      </c>
      <c r="H31" s="404"/>
      <c r="I31" s="5"/>
      <c r="J31" s="5"/>
      <c r="K31" s="5"/>
      <c r="L31" s="5">
        <f t="shared" si="0"/>
        <v>3510577560</v>
      </c>
      <c r="M31" s="238" t="s">
        <v>1934</v>
      </c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</row>
    <row r="32" spans="3:27" s="238" customFormat="1" ht="18" customHeight="1">
      <c r="C32" s="403">
        <v>2</v>
      </c>
      <c r="D32" s="540" t="str">
        <f>+'2.0'!D19</f>
        <v>643000</v>
      </c>
      <c r="E32" s="404" t="str">
        <f>+'2.0'!E19</f>
        <v>대손상각비</v>
      </c>
      <c r="F32" s="542">
        <v>0</v>
      </c>
      <c r="G32" s="542">
        <v>0</v>
      </c>
      <c r="H32" s="404"/>
      <c r="I32" s="5"/>
      <c r="J32" s="5"/>
      <c r="K32" s="5"/>
      <c r="L32" s="5">
        <f t="shared" si="0"/>
        <v>0</v>
      </c>
      <c r="M32" s="238" t="s">
        <v>1934</v>
      </c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41"/>
    </row>
    <row r="33" spans="3:27" s="238" customFormat="1" ht="18" customHeight="1">
      <c r="C33" s="403">
        <v>2</v>
      </c>
      <c r="D33" s="540" t="str">
        <f>+'2.0'!D20</f>
        <v>연결IS_2</v>
      </c>
      <c r="E33" s="404" t="str">
        <f>+'2.0'!E20</f>
        <v>관계기업투자주식처분이익</v>
      </c>
      <c r="F33" s="542">
        <v>0</v>
      </c>
      <c r="G33" s="542">
        <v>0</v>
      </c>
      <c r="H33" s="404"/>
      <c r="I33" s="5"/>
      <c r="J33" s="5"/>
      <c r="K33" s="5"/>
      <c r="L33" s="5">
        <f t="shared" si="0"/>
        <v>0</v>
      </c>
      <c r="M33" s="238" t="s">
        <v>1934</v>
      </c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41"/>
    </row>
    <row r="34" spans="3:27" s="238" customFormat="1" ht="18" customHeight="1">
      <c r="C34" s="403">
        <v>2</v>
      </c>
      <c r="D34" s="540" t="str">
        <f>+'2.0'!D21</f>
        <v>연결IS_2</v>
      </c>
      <c r="E34" s="404" t="str">
        <f>+'2.0'!E21</f>
        <v>관계기업투자주식처분이익</v>
      </c>
      <c r="F34" s="542">
        <v>798641919</v>
      </c>
      <c r="G34" s="542">
        <v>0</v>
      </c>
      <c r="H34" s="404"/>
      <c r="I34" s="5"/>
      <c r="J34" s="5"/>
      <c r="K34" s="5"/>
      <c r="L34" s="5">
        <f t="shared" si="0"/>
        <v>-798641919</v>
      </c>
      <c r="M34" s="238" t="s">
        <v>1934</v>
      </c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</row>
    <row r="35" spans="3:27" s="238" customFormat="1" ht="18" customHeight="1">
      <c r="C35" s="403">
        <v>2</v>
      </c>
      <c r="D35" s="540" t="str">
        <f>+'2.0'!D22</f>
        <v>연결IS_2</v>
      </c>
      <c r="E35" s="404" t="str">
        <f>+'2.0'!E22</f>
        <v>관계기업투자주식처분이익</v>
      </c>
      <c r="F35" s="542">
        <v>1199</v>
      </c>
      <c r="G35" s="542">
        <v>0</v>
      </c>
      <c r="H35" s="404"/>
      <c r="I35" s="5"/>
      <c r="J35" s="5"/>
      <c r="K35" s="5"/>
      <c r="L35" s="5">
        <f t="shared" si="0"/>
        <v>-1199</v>
      </c>
      <c r="M35" s="238" t="s">
        <v>1934</v>
      </c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41"/>
    </row>
    <row r="36" spans="3:27" s="238" customFormat="1" ht="18" customHeight="1">
      <c r="C36" s="403">
        <v>2</v>
      </c>
      <c r="D36" s="540"/>
      <c r="E36" s="404" t="s">
        <v>1932</v>
      </c>
      <c r="F36" s="542"/>
      <c r="G36" s="543">
        <v>798643118</v>
      </c>
      <c r="H36" s="404"/>
      <c r="I36" s="5"/>
      <c r="J36" s="5"/>
      <c r="K36" s="5"/>
      <c r="L36" s="5"/>
      <c r="M36" s="238" t="s">
        <v>1934</v>
      </c>
      <c r="N36" s="341"/>
      <c r="O36" s="341"/>
      <c r="P36" s="341"/>
      <c r="Q36" s="341"/>
      <c r="R36" s="341"/>
      <c r="S36" s="341"/>
      <c r="T36" s="341"/>
      <c r="U36" s="341"/>
      <c r="V36" s="341"/>
      <c r="W36" s="341"/>
      <c r="X36" s="341"/>
      <c r="Y36" s="341"/>
      <c r="Z36" s="341"/>
      <c r="AA36" s="341"/>
    </row>
    <row r="37" spans="3:27" s="238" customFormat="1" ht="18" customHeight="1">
      <c r="C37" s="403"/>
      <c r="D37" s="540"/>
      <c r="E37" s="404"/>
      <c r="F37" s="542"/>
      <c r="G37" s="542"/>
      <c r="H37" s="404"/>
      <c r="I37" s="5"/>
      <c r="J37" s="5"/>
      <c r="K37" s="5"/>
      <c r="L37" s="5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</row>
    <row r="38" spans="3:27" s="238" customFormat="1" ht="18" customHeight="1">
      <c r="C38" s="538">
        <v>3</v>
      </c>
      <c r="D38" s="539" t="s">
        <v>1921</v>
      </c>
      <c r="E38" s="401"/>
      <c r="F38" s="401"/>
      <c r="G38" s="401"/>
      <c r="H38" s="401"/>
      <c r="I38" s="5"/>
      <c r="J38" s="5"/>
      <c r="K38" s="5"/>
      <c r="L38" s="5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41"/>
      <c r="Z38" s="341"/>
      <c r="AA38" s="341"/>
    </row>
    <row r="39" spans="3:27" s="238" customFormat="1" ht="18" customHeight="1">
      <c r="C39" s="403">
        <f>+C38</f>
        <v>3</v>
      </c>
      <c r="D39" s="540">
        <f>+'3.0'!J5</f>
        <v>111731</v>
      </c>
      <c r="E39" s="404" t="str">
        <f>+'3.0'!K5</f>
        <v>외상매출금(외화)</v>
      </c>
      <c r="F39" s="404">
        <v>0</v>
      </c>
      <c r="G39" s="404">
        <v>21998200</v>
      </c>
      <c r="H39" s="404" t="str">
        <f>+'3.0'!N5</f>
        <v>드림어스컴퍼니</v>
      </c>
      <c r="I39" s="5">
        <f>+$F39-$G39</f>
        <v>-21998200</v>
      </c>
      <c r="J39" s="5"/>
      <c r="K39" s="5"/>
      <c r="L39" s="5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41"/>
    </row>
    <row r="40" spans="3:27" s="238" customFormat="1" ht="18" customHeight="1">
      <c r="C40" s="403">
        <f t="shared" ref="C40:C49" si="1">+C39</f>
        <v>3</v>
      </c>
      <c r="D40" s="540">
        <f>+'3.0'!J6</f>
        <v>211121</v>
      </c>
      <c r="E40" s="404" t="str">
        <f>+'3.0'!K6</f>
        <v>외상매입금(외화)</v>
      </c>
      <c r="F40" s="404">
        <v>21998200</v>
      </c>
      <c r="G40" s="404">
        <v>0</v>
      </c>
      <c r="H40" s="404" t="str">
        <f>+'3.0'!N6</f>
        <v>Iriver Enterprise Limited</v>
      </c>
      <c r="I40" s="5"/>
      <c r="J40" s="5"/>
      <c r="K40" s="5"/>
      <c r="L40" s="5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</row>
    <row r="41" spans="3:27" s="238" customFormat="1" ht="18" customHeight="1">
      <c r="C41" s="403">
        <f t="shared" si="1"/>
        <v>3</v>
      </c>
      <c r="D41" s="540">
        <f>+'3.0'!J7</f>
        <v>111731</v>
      </c>
      <c r="E41" s="404" t="str">
        <f>+'3.0'!K7</f>
        <v>외상매출금(외화)</v>
      </c>
      <c r="F41" s="404">
        <v>0</v>
      </c>
      <c r="G41" s="404">
        <v>822564121</v>
      </c>
      <c r="H41" s="404" t="str">
        <f>+'3.0'!N7</f>
        <v>IRIVER CHINA CO.,LTD</v>
      </c>
      <c r="I41" s="5">
        <f>+$F41-$G41</f>
        <v>-822564121</v>
      </c>
      <c r="J41" s="5"/>
      <c r="K41" s="5"/>
      <c r="L41" s="5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</row>
    <row r="42" spans="3:27" s="238" customFormat="1" ht="18" customHeight="1">
      <c r="C42" s="403">
        <f t="shared" si="1"/>
        <v>3</v>
      </c>
      <c r="D42" s="540">
        <f>+'3.0'!J8</f>
        <v>211121</v>
      </c>
      <c r="E42" s="404" t="str">
        <f>+'3.0'!K8</f>
        <v>외상매입금(외화)</v>
      </c>
      <c r="F42" s="404">
        <v>822564121</v>
      </c>
      <c r="G42" s="404">
        <v>0</v>
      </c>
      <c r="H42" s="404" t="str">
        <f>+'3.0'!N8</f>
        <v>드림어스컴퍼니</v>
      </c>
      <c r="I42" s="5"/>
      <c r="J42" s="5"/>
      <c r="K42" s="5"/>
      <c r="L42" s="5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</row>
    <row r="43" spans="3:27" s="238" customFormat="1" ht="18" customHeight="1">
      <c r="C43" s="403">
        <f t="shared" si="1"/>
        <v>3</v>
      </c>
      <c r="D43" s="540"/>
      <c r="E43" s="404"/>
      <c r="F43" s="404"/>
      <c r="G43" s="404"/>
      <c r="H43" s="404"/>
      <c r="I43" s="5">
        <f>+$F43-$G43</f>
        <v>0</v>
      </c>
      <c r="J43" s="5"/>
      <c r="K43" s="5"/>
      <c r="L43" s="5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</row>
    <row r="44" spans="3:27" s="238" customFormat="1" ht="18" customHeight="1">
      <c r="C44" s="403">
        <f t="shared" si="1"/>
        <v>3</v>
      </c>
      <c r="D44" s="540"/>
      <c r="E44" s="404"/>
      <c r="F44" s="404"/>
      <c r="G44" s="404"/>
      <c r="H44" s="404"/>
      <c r="I44" s="5"/>
      <c r="J44" s="5"/>
      <c r="K44" s="5"/>
      <c r="L44" s="5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</row>
    <row r="45" spans="3:27" s="238" customFormat="1" ht="18" customHeight="1">
      <c r="C45" s="403">
        <f t="shared" si="1"/>
        <v>3</v>
      </c>
      <c r="D45" s="540"/>
      <c r="E45" s="404"/>
      <c r="F45" s="404"/>
      <c r="G45" s="404"/>
      <c r="H45" s="404"/>
      <c r="I45" s="5"/>
      <c r="J45" s="5"/>
      <c r="K45" s="5"/>
      <c r="L45" s="5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</row>
    <row r="46" spans="3:27" s="238" customFormat="1" ht="18" customHeight="1">
      <c r="C46" s="403">
        <f t="shared" si="1"/>
        <v>3</v>
      </c>
      <c r="D46" s="540"/>
      <c r="E46" s="404"/>
      <c r="F46" s="404"/>
      <c r="G46" s="404"/>
      <c r="H46" s="404"/>
      <c r="I46" s="5"/>
      <c r="J46" s="5"/>
      <c r="K46" s="5"/>
      <c r="L46" s="5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341"/>
      <c r="Z46" s="341"/>
      <c r="AA46" s="341"/>
    </row>
    <row r="47" spans="3:27" s="238" customFormat="1" ht="18" customHeight="1">
      <c r="C47" s="403">
        <f t="shared" si="1"/>
        <v>3</v>
      </c>
      <c r="D47" s="540"/>
      <c r="E47" s="404"/>
      <c r="F47" s="404"/>
      <c r="G47" s="404"/>
      <c r="H47" s="404"/>
      <c r="I47" s="5">
        <f>+$F47-$G47</f>
        <v>0</v>
      </c>
      <c r="J47" s="5"/>
      <c r="K47" s="5"/>
      <c r="L47" s="5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</row>
    <row r="48" spans="3:27" s="238" customFormat="1" ht="18" customHeight="1">
      <c r="C48" s="403">
        <f t="shared" si="1"/>
        <v>3</v>
      </c>
      <c r="D48" s="540"/>
      <c r="E48" s="404"/>
      <c r="F48" s="404"/>
      <c r="G48" s="404"/>
      <c r="H48" s="404"/>
      <c r="I48" s="5"/>
      <c r="J48" s="5"/>
      <c r="K48" s="5"/>
      <c r="L48" s="5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41"/>
    </row>
    <row r="49" spans="3:27" s="238" customFormat="1" ht="18" customHeight="1">
      <c r="C49" s="403">
        <f t="shared" si="1"/>
        <v>3</v>
      </c>
      <c r="D49" s="540">
        <f>+'3.0'!J9</f>
        <v>111711</v>
      </c>
      <c r="E49" s="404" t="str">
        <f>+'3.0'!K9</f>
        <v>외상매출금(원화)</v>
      </c>
      <c r="F49" s="404">
        <v>0</v>
      </c>
      <c r="G49" s="404">
        <v>57500000</v>
      </c>
      <c r="H49" s="404" t="str">
        <f>+'3.0'!N9</f>
        <v>드림어스컴퍼니</v>
      </c>
      <c r="I49" s="5">
        <f>+$F49-$G49</f>
        <v>-57500000</v>
      </c>
      <c r="J49" s="5"/>
      <c r="K49" s="5"/>
      <c r="L49" s="5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</row>
    <row r="50" spans="3:27" s="238" customFormat="1" ht="18" customHeight="1">
      <c r="C50" s="403">
        <f t="shared" ref="C50:C84" si="2">+C49</f>
        <v>3</v>
      </c>
      <c r="D50" s="540">
        <f>+'3.0'!J10</f>
        <v>213150</v>
      </c>
      <c r="E50" s="404" t="str">
        <f>+'3.0'!K10</f>
        <v>미지급금(외화)</v>
      </c>
      <c r="F50" s="404">
        <v>57500000</v>
      </c>
      <c r="G50" s="404">
        <v>0</v>
      </c>
      <c r="H50" s="404" t="str">
        <f>+'3.0'!N10</f>
        <v>LIFE DESIGN COMPANY Inc.</v>
      </c>
      <c r="I50" s="5"/>
      <c r="J50" s="5"/>
      <c r="K50" s="5"/>
      <c r="L50" s="5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</row>
    <row r="51" spans="3:27" s="238" customFormat="1" ht="18" customHeight="1">
      <c r="C51" s="403">
        <f t="shared" si="2"/>
        <v>3</v>
      </c>
      <c r="D51" s="540">
        <f>+'3.0'!J11</f>
        <v>111731</v>
      </c>
      <c r="E51" s="404" t="str">
        <f>+'3.0'!K11</f>
        <v>외상매출금(외화)</v>
      </c>
      <c r="F51" s="404">
        <v>0</v>
      </c>
      <c r="G51" s="404">
        <v>75407514</v>
      </c>
      <c r="H51" s="404" t="str">
        <f>+'3.0'!N11</f>
        <v>드림어스컴퍼니</v>
      </c>
      <c r="I51" s="5">
        <f>+$F51-$G51</f>
        <v>-75407514</v>
      </c>
      <c r="J51" s="5"/>
      <c r="K51" s="5"/>
      <c r="L51" s="5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41"/>
    </row>
    <row r="52" spans="3:27" s="238" customFormat="1" ht="18" customHeight="1">
      <c r="C52" s="403">
        <f t="shared" si="2"/>
        <v>3</v>
      </c>
      <c r="D52" s="540">
        <f>+'3.0'!J14</f>
        <v>211121</v>
      </c>
      <c r="E52" s="404" t="str">
        <f>+'3.0'!K14</f>
        <v>외상매입금(외화)</v>
      </c>
      <c r="F52" s="404">
        <v>75407514</v>
      </c>
      <c r="G52" s="404">
        <v>0</v>
      </c>
      <c r="H52" s="404" t="str">
        <f>+'3.0'!N14</f>
        <v>LIFE DESIGN COMPANY Inc.</v>
      </c>
      <c r="I52" s="5"/>
      <c r="J52" s="5"/>
      <c r="K52" s="5"/>
      <c r="L52" s="5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</row>
    <row r="53" spans="3:27" s="238" customFormat="1" ht="18" customHeight="1">
      <c r="C53" s="403">
        <f t="shared" si="2"/>
        <v>3</v>
      </c>
      <c r="D53" s="540">
        <f>+'3.0'!J15</f>
        <v>111901</v>
      </c>
      <c r="E53" s="404" t="str">
        <f>+'3.0'!K15</f>
        <v>단기대여금(외화)</v>
      </c>
      <c r="F53" s="404">
        <v>0</v>
      </c>
      <c r="G53" s="404">
        <v>531735000</v>
      </c>
      <c r="H53" s="404" t="str">
        <f>+'3.0'!N15</f>
        <v>드림어스컴퍼니</v>
      </c>
      <c r="I53" s="5"/>
      <c r="J53" s="5"/>
      <c r="K53" s="5"/>
      <c r="L53" s="5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</row>
    <row r="54" spans="3:27" s="238" customFormat="1" ht="18" customHeight="1">
      <c r="C54" s="403">
        <f t="shared" si="2"/>
        <v>3</v>
      </c>
      <c r="D54" s="540">
        <f>+'3.0'!J16</f>
        <v>212500</v>
      </c>
      <c r="E54" s="404" t="str">
        <f>+'3.0'!K16</f>
        <v>단기차입금(외화)</v>
      </c>
      <c r="F54" s="404">
        <v>531735000</v>
      </c>
      <c r="G54" s="404">
        <v>0</v>
      </c>
      <c r="H54" s="404" t="str">
        <f>+'3.0'!N16</f>
        <v>LIFE DESIGN COMPANY Inc.</v>
      </c>
      <c r="I54" s="5"/>
      <c r="J54" s="5"/>
      <c r="K54" s="5"/>
      <c r="L54" s="5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341"/>
    </row>
    <row r="55" spans="3:27" s="238" customFormat="1" ht="18" customHeight="1">
      <c r="C55" s="403">
        <f t="shared" si="2"/>
        <v>3</v>
      </c>
      <c r="D55" s="540">
        <f>+'3.0'!J17</f>
        <v>112113</v>
      </c>
      <c r="E55" s="404" t="str">
        <f>+'3.0'!K17</f>
        <v>미수금(외화_일반)</v>
      </c>
      <c r="F55" s="404">
        <v>0</v>
      </c>
      <c r="G55" s="404">
        <v>30087098</v>
      </c>
      <c r="H55" s="404" t="str">
        <f>+'3.0'!N17</f>
        <v>드림어스컴퍼니</v>
      </c>
      <c r="I55" s="5">
        <f>+$F55-$G55</f>
        <v>-30087098</v>
      </c>
      <c r="J55" s="5"/>
      <c r="K55" s="5"/>
      <c r="L55" s="5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41"/>
    </row>
    <row r="56" spans="3:27" s="238" customFormat="1" ht="18" customHeight="1">
      <c r="C56" s="403">
        <f t="shared" si="2"/>
        <v>3</v>
      </c>
      <c r="D56" s="540">
        <f>+'3.0'!J18</f>
        <v>213150</v>
      </c>
      <c r="E56" s="404" t="str">
        <f>+'3.0'!K18</f>
        <v>미지급금(외화)</v>
      </c>
      <c r="F56" s="404">
        <v>30087098</v>
      </c>
      <c r="G56" s="404">
        <v>0</v>
      </c>
      <c r="H56" s="404" t="str">
        <f>+'3.0'!N18</f>
        <v>LIFE DESIGN COMPANY Inc.</v>
      </c>
      <c r="I56" s="5"/>
      <c r="J56" s="5"/>
      <c r="K56" s="5"/>
      <c r="L56" s="5"/>
      <c r="N56" s="341"/>
      <c r="O56" s="341"/>
      <c r="P56" s="341"/>
      <c r="Q56" s="341"/>
      <c r="R56" s="341"/>
      <c r="S56" s="341"/>
      <c r="T56" s="341"/>
      <c r="U56" s="341"/>
      <c r="V56" s="341"/>
      <c r="W56" s="341"/>
      <c r="X56" s="341"/>
      <c r="Y56" s="341"/>
      <c r="Z56" s="341"/>
      <c r="AA56" s="341"/>
    </row>
    <row r="57" spans="3:27" s="238" customFormat="1" ht="18" customHeight="1">
      <c r="C57" s="403">
        <f t="shared" si="2"/>
        <v>3</v>
      </c>
      <c r="D57" s="540">
        <f>+'3.0'!J19</f>
        <v>112302</v>
      </c>
      <c r="E57" s="404" t="str">
        <f>+'3.0'!K19</f>
        <v>미수수익(외화)</v>
      </c>
      <c r="F57" s="404">
        <v>0</v>
      </c>
      <c r="G57" s="404">
        <v>3933393</v>
      </c>
      <c r="H57" s="404" t="str">
        <f>+'3.0'!N19</f>
        <v>드림어스컴퍼니</v>
      </c>
      <c r="I57" s="5"/>
      <c r="J57" s="5"/>
      <c r="K57" s="5"/>
      <c r="L57" s="5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341"/>
    </row>
    <row r="58" spans="3:27" s="238" customFormat="1" ht="18" customHeight="1">
      <c r="C58" s="403">
        <f t="shared" si="2"/>
        <v>3</v>
      </c>
      <c r="D58" s="540"/>
      <c r="E58" s="404"/>
      <c r="F58" s="404"/>
      <c r="G58" s="404"/>
      <c r="H58" s="404"/>
      <c r="I58" s="5"/>
      <c r="J58" s="5"/>
      <c r="K58" s="5"/>
      <c r="L58" s="5"/>
      <c r="N58" s="341"/>
      <c r="O58" s="341"/>
      <c r="P58" s="341"/>
      <c r="Q58" s="341"/>
      <c r="R58" s="341"/>
      <c r="S58" s="341"/>
      <c r="T58" s="341"/>
      <c r="U58" s="341"/>
      <c r="V58" s="341"/>
      <c r="W58" s="341"/>
      <c r="X58" s="341"/>
      <c r="Y58" s="341"/>
      <c r="Z58" s="341"/>
      <c r="AA58" s="341"/>
    </row>
    <row r="59" spans="3:27" s="238" customFormat="1" ht="18" customHeight="1">
      <c r="C59" s="403">
        <f t="shared" si="2"/>
        <v>3</v>
      </c>
      <c r="D59" s="540"/>
      <c r="E59" s="404"/>
      <c r="F59" s="404"/>
      <c r="G59" s="404"/>
      <c r="H59" s="404"/>
      <c r="I59" s="5">
        <f>+$F59-$G59</f>
        <v>0</v>
      </c>
      <c r="J59" s="5"/>
      <c r="K59" s="5"/>
      <c r="L59" s="5"/>
      <c r="N59" s="341"/>
      <c r="O59" s="341"/>
      <c r="P59" s="341"/>
      <c r="Q59" s="341"/>
      <c r="R59" s="341"/>
      <c r="S59" s="341"/>
      <c r="T59" s="341"/>
      <c r="U59" s="341"/>
      <c r="V59" s="341"/>
      <c r="W59" s="341"/>
      <c r="X59" s="341"/>
      <c r="Y59" s="341"/>
      <c r="Z59" s="341"/>
      <c r="AA59" s="341"/>
    </row>
    <row r="60" spans="3:27" s="238" customFormat="1" ht="18" customHeight="1">
      <c r="C60" s="403">
        <f t="shared" si="2"/>
        <v>3</v>
      </c>
      <c r="D60" s="540"/>
      <c r="E60" s="404"/>
      <c r="F60" s="404"/>
      <c r="G60" s="404"/>
      <c r="H60" s="404"/>
      <c r="I60" s="5"/>
      <c r="J60" s="5"/>
      <c r="K60" s="5"/>
      <c r="L60" s="5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41"/>
    </row>
    <row r="61" spans="3:27" s="238" customFormat="1" ht="18" customHeight="1">
      <c r="C61" s="403">
        <f t="shared" si="2"/>
        <v>3</v>
      </c>
      <c r="D61" s="540"/>
      <c r="E61" s="404"/>
      <c r="F61" s="404"/>
      <c r="G61" s="404"/>
      <c r="H61" s="404"/>
      <c r="I61" s="5">
        <f>+$F61-$G61</f>
        <v>0</v>
      </c>
      <c r="J61" s="5"/>
      <c r="K61" s="5"/>
      <c r="L61" s="5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  <c r="Z61" s="341"/>
      <c r="AA61" s="341"/>
    </row>
    <row r="62" spans="3:27" s="238" customFormat="1" ht="18" customHeight="1">
      <c r="C62" s="403">
        <f t="shared" si="2"/>
        <v>3</v>
      </c>
      <c r="D62" s="540"/>
      <c r="E62" s="404"/>
      <c r="F62" s="404"/>
      <c r="G62" s="404"/>
      <c r="H62" s="404"/>
      <c r="I62" s="5"/>
      <c r="J62" s="5"/>
      <c r="K62" s="5"/>
      <c r="L62" s="5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341"/>
      <c r="Z62" s="341"/>
      <c r="AA62" s="341"/>
    </row>
    <row r="63" spans="3:27" s="238" customFormat="1" ht="18" customHeight="1">
      <c r="C63" s="403"/>
      <c r="D63" s="540"/>
      <c r="E63" s="404"/>
      <c r="F63" s="404"/>
      <c r="G63" s="404"/>
      <c r="H63" s="404"/>
      <c r="I63" s="5"/>
      <c r="J63" s="5"/>
      <c r="K63" s="5"/>
      <c r="L63" s="5"/>
      <c r="N63" s="341"/>
      <c r="O63" s="341"/>
      <c r="P63" s="341"/>
      <c r="Q63" s="341"/>
      <c r="R63" s="341"/>
      <c r="S63" s="341"/>
      <c r="T63" s="341"/>
      <c r="U63" s="341"/>
      <c r="V63" s="341"/>
      <c r="W63" s="341"/>
      <c r="X63" s="341"/>
      <c r="Y63" s="341"/>
      <c r="Z63" s="341"/>
      <c r="AA63" s="341"/>
    </row>
    <row r="64" spans="3:27" s="238" customFormat="1" ht="18" customHeight="1">
      <c r="C64" s="403">
        <f>+C62</f>
        <v>3</v>
      </c>
      <c r="D64" s="540"/>
      <c r="E64" s="404"/>
      <c r="F64" s="404"/>
      <c r="G64" s="404"/>
      <c r="H64" s="404"/>
      <c r="I64" s="5"/>
      <c r="J64" s="5"/>
      <c r="K64" s="5"/>
      <c r="L64" s="5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41"/>
    </row>
    <row r="65" spans="3:27" s="238" customFormat="1" ht="18" customHeight="1">
      <c r="C65" s="403">
        <f t="shared" si="2"/>
        <v>3</v>
      </c>
      <c r="D65" s="540"/>
      <c r="E65" s="404"/>
      <c r="F65" s="404"/>
      <c r="G65" s="404"/>
      <c r="H65" s="404"/>
      <c r="I65" s="5"/>
      <c r="J65" s="5"/>
      <c r="K65" s="5"/>
      <c r="L65" s="5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341"/>
    </row>
    <row r="66" spans="3:27" s="238" customFormat="1" ht="18" customHeight="1">
      <c r="C66" s="403">
        <f t="shared" si="2"/>
        <v>3</v>
      </c>
      <c r="D66" s="540"/>
      <c r="E66" s="404"/>
      <c r="F66" s="404"/>
      <c r="G66" s="404"/>
      <c r="H66" s="404"/>
      <c r="I66" s="5"/>
      <c r="J66" s="5"/>
      <c r="K66" s="5"/>
      <c r="L66" s="5"/>
      <c r="N66" s="341"/>
      <c r="O66" s="341"/>
      <c r="P66" s="341"/>
      <c r="Q66" s="341"/>
      <c r="R66" s="341"/>
      <c r="S66" s="341"/>
      <c r="T66" s="341"/>
      <c r="U66" s="341"/>
      <c r="V66" s="341"/>
      <c r="W66" s="341"/>
      <c r="X66" s="341"/>
      <c r="Y66" s="341"/>
      <c r="Z66" s="341"/>
      <c r="AA66" s="341"/>
    </row>
    <row r="67" spans="3:27" s="238" customFormat="1" ht="18" customHeight="1">
      <c r="C67" s="403">
        <f t="shared" si="2"/>
        <v>3</v>
      </c>
      <c r="D67" s="540"/>
      <c r="E67" s="404"/>
      <c r="F67" s="404"/>
      <c r="G67" s="404"/>
      <c r="H67" s="404"/>
      <c r="I67" s="5"/>
      <c r="J67" s="5"/>
      <c r="K67" s="5"/>
      <c r="L67" s="5"/>
      <c r="N67" s="341"/>
      <c r="O67" s="341"/>
      <c r="P67" s="341"/>
      <c r="Q67" s="341"/>
      <c r="R67" s="341"/>
      <c r="S67" s="341"/>
      <c r="T67" s="341"/>
      <c r="U67" s="341"/>
      <c r="V67" s="341"/>
      <c r="W67" s="341"/>
      <c r="X67" s="341"/>
      <c r="Y67" s="341"/>
      <c r="Z67" s="341"/>
      <c r="AA67" s="341"/>
    </row>
    <row r="68" spans="3:27" s="238" customFormat="1" ht="18" customHeight="1">
      <c r="C68" s="403">
        <f t="shared" si="2"/>
        <v>3</v>
      </c>
      <c r="D68" s="540"/>
      <c r="E68" s="404"/>
      <c r="F68" s="404"/>
      <c r="G68" s="404"/>
      <c r="H68" s="404"/>
      <c r="I68" s="5"/>
      <c r="J68" s="5"/>
      <c r="K68" s="5"/>
      <c r="L68" s="5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  <c r="Z68" s="341"/>
      <c r="AA68" s="341"/>
    </row>
    <row r="69" spans="3:27" s="238" customFormat="1" ht="18" customHeight="1">
      <c r="C69" s="403">
        <f t="shared" si="2"/>
        <v>3</v>
      </c>
      <c r="D69" s="540"/>
      <c r="E69" s="404"/>
      <c r="F69" s="404"/>
      <c r="G69" s="404"/>
      <c r="H69" s="404"/>
      <c r="I69" s="5"/>
      <c r="J69" s="5"/>
      <c r="K69" s="5"/>
      <c r="L69" s="5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41"/>
    </row>
    <row r="70" spans="3:27" s="238" customFormat="1" ht="18" customHeight="1">
      <c r="C70" s="403">
        <f t="shared" si="2"/>
        <v>3</v>
      </c>
      <c r="D70" s="540"/>
      <c r="E70" s="404"/>
      <c r="F70" s="404"/>
      <c r="G70" s="404"/>
      <c r="H70" s="404"/>
      <c r="I70" s="5"/>
      <c r="J70" s="5"/>
      <c r="K70" s="5"/>
      <c r="L70" s="5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</row>
    <row r="71" spans="3:27" s="238" customFormat="1" ht="18" customHeight="1">
      <c r="C71" s="403">
        <f t="shared" si="2"/>
        <v>3</v>
      </c>
      <c r="D71" s="540"/>
      <c r="E71" s="404"/>
      <c r="F71" s="404"/>
      <c r="G71" s="404"/>
      <c r="H71" s="404"/>
      <c r="I71" s="5"/>
      <c r="J71" s="5"/>
      <c r="K71" s="5"/>
      <c r="L71" s="5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</row>
    <row r="72" spans="3:27" s="238" customFormat="1" ht="18" customHeight="1">
      <c r="C72" s="403">
        <f t="shared" si="2"/>
        <v>3</v>
      </c>
      <c r="D72" s="540"/>
      <c r="E72" s="404"/>
      <c r="F72" s="404"/>
      <c r="G72" s="404"/>
      <c r="H72" s="404"/>
      <c r="I72" s="5"/>
      <c r="J72" s="5"/>
      <c r="K72" s="5"/>
      <c r="L72" s="5"/>
      <c r="N72" s="341"/>
      <c r="O72" s="341"/>
      <c r="P72" s="341"/>
      <c r="Q72" s="341"/>
      <c r="R72" s="341"/>
      <c r="S72" s="341"/>
      <c r="T72" s="341"/>
      <c r="U72" s="341"/>
      <c r="V72" s="341"/>
      <c r="W72" s="341"/>
      <c r="X72" s="341"/>
      <c r="Y72" s="341"/>
      <c r="Z72" s="341"/>
    </row>
    <row r="73" spans="3:27" s="238" customFormat="1" ht="18" customHeight="1">
      <c r="C73" s="403">
        <f t="shared" si="2"/>
        <v>3</v>
      </c>
      <c r="D73" s="540"/>
      <c r="E73" s="404"/>
      <c r="F73" s="404"/>
      <c r="G73" s="404"/>
      <c r="H73" s="404"/>
      <c r="I73" s="5"/>
      <c r="J73" s="5"/>
      <c r="K73" s="5"/>
      <c r="L73" s="5"/>
      <c r="N73" s="341"/>
      <c r="O73" s="341"/>
      <c r="P73" s="341"/>
      <c r="Q73" s="341"/>
      <c r="R73" s="341"/>
      <c r="S73" s="341"/>
      <c r="T73" s="341"/>
      <c r="U73" s="341"/>
      <c r="V73" s="341"/>
      <c r="W73" s="341"/>
      <c r="X73" s="341"/>
      <c r="Y73" s="341"/>
      <c r="Z73" s="341"/>
    </row>
    <row r="74" spans="3:27" s="238" customFormat="1" ht="18" customHeight="1">
      <c r="C74" s="403">
        <f t="shared" si="2"/>
        <v>3</v>
      </c>
      <c r="D74" s="540">
        <f>+'3.0'!J22</f>
        <v>410240</v>
      </c>
      <c r="E74" s="404" t="str">
        <f>+'3.0'!K22</f>
        <v>제품매출(수출)</v>
      </c>
      <c r="F74" s="404">
        <v>980215414</v>
      </c>
      <c r="G74" s="404">
        <v>0</v>
      </c>
      <c r="H74" s="404" t="str">
        <f>+'3.0'!N22</f>
        <v>드림어스컴퍼니</v>
      </c>
      <c r="I74" s="5"/>
      <c r="J74" s="5"/>
      <c r="K74" s="5"/>
      <c r="L74" s="5"/>
      <c r="N74" s="341"/>
      <c r="O74" s="341"/>
      <c r="P74" s="341"/>
      <c r="Q74" s="341"/>
      <c r="R74" s="341"/>
      <c r="S74" s="341"/>
      <c r="T74" s="341"/>
      <c r="U74" s="341"/>
      <c r="V74" s="341"/>
      <c r="W74" s="341"/>
      <c r="X74" s="341"/>
      <c r="Y74" s="341"/>
      <c r="Z74" s="341"/>
    </row>
    <row r="75" spans="3:27" s="238" customFormat="1" ht="18" customHeight="1">
      <c r="C75" s="403">
        <f t="shared" si="2"/>
        <v>3</v>
      </c>
      <c r="D75" s="540">
        <f>+'3.0'!J23</f>
        <v>420199</v>
      </c>
      <c r="E75" s="404" t="str">
        <f>+'3.0'!K23</f>
        <v>제품매출원가</v>
      </c>
      <c r="F75" s="404">
        <v>0</v>
      </c>
      <c r="G75" s="404">
        <v>980215414</v>
      </c>
      <c r="H75" s="404" t="str">
        <f>+'3.0'!N23</f>
        <v>LIFE DESIGN COMPANY Inc.</v>
      </c>
      <c r="I75" s="5"/>
      <c r="J75" s="5"/>
      <c r="K75" s="5"/>
      <c r="L75" s="5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</row>
    <row r="76" spans="3:27" s="238" customFormat="1" ht="18" customHeight="1">
      <c r="C76" s="403">
        <f t="shared" si="2"/>
        <v>3</v>
      </c>
      <c r="D76" s="540">
        <f>+'3.0'!J24</f>
        <v>410130</v>
      </c>
      <c r="E76" s="404" t="str">
        <f>+'3.0'!K24</f>
        <v>상품매출(수출)</v>
      </c>
      <c r="F76" s="404">
        <v>36729604</v>
      </c>
      <c r="G76" s="404">
        <v>0</v>
      </c>
      <c r="H76" s="404" t="str">
        <f>+'3.0'!N24</f>
        <v>드림어스컴퍼니</v>
      </c>
      <c r="I76" s="5"/>
      <c r="J76" s="5"/>
      <c r="K76" s="5"/>
      <c r="L76" s="5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</row>
    <row r="77" spans="3:27" s="238" customFormat="1" ht="18" customHeight="1">
      <c r="C77" s="403">
        <f t="shared" si="2"/>
        <v>3</v>
      </c>
      <c r="D77" s="540">
        <f>+'3.0'!J25</f>
        <v>420090</v>
      </c>
      <c r="E77" s="404" t="str">
        <f>+'3.0'!K25</f>
        <v>상품매출원가</v>
      </c>
      <c r="F77" s="404">
        <v>0</v>
      </c>
      <c r="G77" s="404">
        <v>36729604</v>
      </c>
      <c r="H77" s="404" t="str">
        <f>+'3.0'!N25</f>
        <v>LIFE DESIGN COMPANY Inc.</v>
      </c>
      <c r="I77" s="5"/>
      <c r="J77" s="5"/>
      <c r="K77" s="5"/>
      <c r="L77" s="5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  <c r="Z77" s="341"/>
    </row>
    <row r="78" spans="3:27" s="238" customFormat="1" ht="18" customHeight="1">
      <c r="C78" s="403">
        <f t="shared" si="2"/>
        <v>3</v>
      </c>
      <c r="D78" s="540"/>
      <c r="E78" s="404"/>
      <c r="F78" s="404"/>
      <c r="G78" s="404"/>
      <c r="H78" s="404"/>
      <c r="I78" s="5"/>
      <c r="J78" s="5"/>
      <c r="K78" s="5"/>
      <c r="L78" s="5"/>
      <c r="N78" s="341"/>
      <c r="O78" s="341"/>
      <c r="P78" s="341"/>
      <c r="Q78" s="341"/>
      <c r="R78" s="341"/>
      <c r="S78" s="341"/>
      <c r="T78" s="341"/>
      <c r="U78" s="341"/>
      <c r="V78" s="341"/>
      <c r="W78" s="341"/>
      <c r="X78" s="341"/>
      <c r="Y78" s="341"/>
      <c r="Z78" s="341"/>
    </row>
    <row r="79" spans="3:27" s="238" customFormat="1" ht="18" customHeight="1">
      <c r="C79" s="403">
        <f t="shared" si="2"/>
        <v>3</v>
      </c>
      <c r="D79" s="540"/>
      <c r="E79" s="404"/>
      <c r="F79" s="404"/>
      <c r="G79" s="404"/>
      <c r="H79" s="404"/>
      <c r="I79" s="5"/>
      <c r="J79" s="5"/>
      <c r="K79" s="5"/>
      <c r="L79" s="5"/>
      <c r="N79" s="341"/>
      <c r="O79" s="341"/>
      <c r="P79" s="341"/>
      <c r="Q79" s="341"/>
      <c r="R79" s="341"/>
      <c r="S79" s="341"/>
      <c r="T79" s="341"/>
      <c r="U79" s="341"/>
      <c r="V79" s="341"/>
      <c r="W79" s="341"/>
      <c r="X79" s="341"/>
      <c r="Y79" s="341"/>
      <c r="Z79" s="341"/>
    </row>
    <row r="80" spans="3:27" s="238" customFormat="1" ht="18" customHeight="1">
      <c r="C80" s="403">
        <f t="shared" si="2"/>
        <v>3</v>
      </c>
      <c r="D80" s="540"/>
      <c r="E80" s="404"/>
      <c r="F80" s="404"/>
      <c r="G80" s="404"/>
      <c r="H80" s="404"/>
      <c r="I80" s="5"/>
      <c r="J80" s="5"/>
      <c r="K80" s="5"/>
      <c r="L80" s="5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  <c r="Z80" s="341"/>
    </row>
    <row r="81" spans="3:26" s="238" customFormat="1" ht="18" customHeight="1">
      <c r="C81" s="403">
        <f t="shared" si="2"/>
        <v>3</v>
      </c>
      <c r="D81" s="540"/>
      <c r="E81" s="404"/>
      <c r="F81" s="404"/>
      <c r="G81" s="404"/>
      <c r="H81" s="404"/>
      <c r="I81" s="5"/>
      <c r="J81" s="5"/>
      <c r="K81" s="5"/>
      <c r="L81" s="5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</row>
    <row r="82" spans="3:26" s="238" customFormat="1" ht="18" customHeight="1">
      <c r="C82" s="403"/>
      <c r="D82" s="540"/>
      <c r="E82" s="404"/>
      <c r="F82" s="404"/>
      <c r="G82" s="404"/>
      <c r="H82" s="404"/>
      <c r="I82" s="5"/>
      <c r="J82" s="5"/>
      <c r="K82" s="5"/>
      <c r="L82" s="5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</row>
    <row r="83" spans="3:26" s="238" customFormat="1" ht="18" customHeight="1">
      <c r="C83" s="403">
        <f>+C81</f>
        <v>3</v>
      </c>
      <c r="D83" s="540"/>
      <c r="E83" s="404"/>
      <c r="F83" s="404"/>
      <c r="G83" s="404"/>
      <c r="H83" s="404"/>
      <c r="I83" s="5"/>
      <c r="J83" s="5"/>
      <c r="K83" s="5"/>
      <c r="L83" s="5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  <c r="Z83" s="341"/>
    </row>
    <row r="84" spans="3:26" s="238" customFormat="1" ht="18" customHeight="1">
      <c r="C84" s="403">
        <f t="shared" si="2"/>
        <v>3</v>
      </c>
      <c r="D84" s="540"/>
      <c r="E84" s="404"/>
      <c r="F84" s="404"/>
      <c r="G84" s="404"/>
      <c r="H84" s="404"/>
      <c r="I84" s="5"/>
      <c r="J84" s="5"/>
      <c r="K84" s="5"/>
      <c r="L84" s="5"/>
      <c r="N84" s="341"/>
      <c r="O84" s="341"/>
      <c r="P84" s="341"/>
      <c r="Q84" s="341"/>
      <c r="R84" s="341"/>
      <c r="S84" s="341"/>
      <c r="T84" s="341"/>
      <c r="U84" s="341"/>
      <c r="V84" s="341"/>
      <c r="W84" s="341"/>
      <c r="X84" s="341"/>
      <c r="Y84" s="341"/>
      <c r="Z84" s="341"/>
    </row>
    <row r="85" spans="3:26" s="238" customFormat="1" ht="18" customHeight="1">
      <c r="C85" s="403">
        <f>+C84</f>
        <v>3</v>
      </c>
      <c r="D85" s="540"/>
      <c r="E85" s="404"/>
      <c r="F85" s="404"/>
      <c r="G85" s="404"/>
      <c r="H85" s="404"/>
      <c r="I85" s="5"/>
      <c r="J85" s="5"/>
      <c r="K85" s="5"/>
      <c r="L85" s="5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</row>
    <row r="86" spans="3:26" s="238" customFormat="1" ht="18" customHeight="1">
      <c r="C86" s="403">
        <f>+C85</f>
        <v>3</v>
      </c>
      <c r="D86" s="540"/>
      <c r="E86" s="404"/>
      <c r="F86" s="404"/>
      <c r="G86" s="404"/>
      <c r="H86" s="404"/>
      <c r="I86" s="5"/>
      <c r="J86" s="5"/>
      <c r="K86" s="5"/>
      <c r="L86" s="5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</row>
    <row r="87" spans="3:26" s="238" customFormat="1" ht="18" customHeight="1">
      <c r="C87" s="403">
        <f>+C86</f>
        <v>3</v>
      </c>
      <c r="D87" s="540">
        <f>+'3.0'!J27</f>
        <v>731200</v>
      </c>
      <c r="E87" s="404" t="str">
        <f>+'3.0'!K27</f>
        <v>이자비용(차입금)</v>
      </c>
      <c r="F87" s="404">
        <v>0</v>
      </c>
      <c r="G87" s="404">
        <v>3984249</v>
      </c>
      <c r="H87" s="404" t="str">
        <f>+'3.0'!N27</f>
        <v>LIFE DESIGN COMPANY Inc.</v>
      </c>
      <c r="I87" s="5"/>
      <c r="J87" s="5"/>
      <c r="K87" s="5"/>
      <c r="L87" s="5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</row>
    <row r="88" spans="3:26" s="238" customFormat="1" ht="18" customHeight="1">
      <c r="C88" s="403">
        <f>+C87</f>
        <v>3</v>
      </c>
      <c r="D88" s="540">
        <f>+'3.0'!J30</f>
        <v>711191</v>
      </c>
      <c r="E88" s="404" t="str">
        <f>+'3.0'!K30</f>
        <v>이자수익(기타)</v>
      </c>
      <c r="F88" s="404">
        <v>3984249</v>
      </c>
      <c r="G88" s="404">
        <v>0</v>
      </c>
      <c r="H88" s="404" t="str">
        <f>+'3.0'!N30</f>
        <v>드림어스컴퍼니</v>
      </c>
      <c r="I88" s="5"/>
      <c r="J88" s="5"/>
      <c r="K88" s="5"/>
      <c r="L88" s="5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</row>
    <row r="89" spans="3:26" s="238" customFormat="1" ht="18" customHeight="1">
      <c r="C89" s="403"/>
      <c r="D89" s="540"/>
      <c r="E89" s="404"/>
      <c r="F89" s="404"/>
      <c r="G89" s="404"/>
      <c r="H89" s="404"/>
      <c r="I89" s="5"/>
      <c r="J89" s="5"/>
      <c r="K89" s="5"/>
      <c r="L89" s="5"/>
      <c r="N89" s="341"/>
      <c r="O89" s="341"/>
      <c r="P89" s="341"/>
      <c r="Q89" s="341"/>
      <c r="R89" s="341"/>
      <c r="S89" s="341"/>
      <c r="T89" s="341"/>
      <c r="U89" s="341"/>
      <c r="V89" s="341"/>
      <c r="W89" s="341"/>
      <c r="X89" s="341"/>
      <c r="Y89" s="341"/>
      <c r="Z89" s="341"/>
    </row>
    <row r="90" spans="3:26" s="238" customFormat="1" ht="18" customHeight="1">
      <c r="C90" s="538">
        <v>4</v>
      </c>
      <c r="D90" s="539" t="str">
        <f>+'4.0'!D5</f>
        <v>아이리버 &gt; iriver inc 하향판매</v>
      </c>
      <c r="E90" s="401"/>
      <c r="F90" s="401"/>
      <c r="G90" s="401"/>
      <c r="H90" s="401"/>
      <c r="I90" s="5"/>
      <c r="J90" s="5"/>
      <c r="K90" s="5"/>
      <c r="L90" s="5"/>
      <c r="N90" s="341"/>
      <c r="O90" s="341"/>
      <c r="P90" s="341"/>
      <c r="Q90" s="341"/>
      <c r="R90" s="341"/>
      <c r="S90" s="341"/>
      <c r="T90" s="341"/>
      <c r="U90" s="341"/>
      <c r="V90" s="341"/>
      <c r="W90" s="341"/>
      <c r="X90" s="341"/>
      <c r="Y90" s="341"/>
      <c r="Z90" s="341"/>
    </row>
    <row r="91" spans="3:26" s="238" customFormat="1" ht="18" customHeight="1">
      <c r="C91" s="403">
        <f>+C90</f>
        <v>4</v>
      </c>
      <c r="D91" s="540" t="str">
        <f>+'4.0'!D13</f>
        <v>115200</v>
      </c>
      <c r="E91" s="540" t="str">
        <f>+'4.0'!E13</f>
        <v>제품</v>
      </c>
      <c r="F91" s="404">
        <v>0</v>
      </c>
      <c r="G91" s="404">
        <v>0</v>
      </c>
      <c r="H91" s="404"/>
      <c r="I91" s="5">
        <f>+$F91-$G91</f>
        <v>0</v>
      </c>
      <c r="J91" s="5"/>
      <c r="K91" s="5"/>
      <c r="L91" s="5"/>
      <c r="M91" s="238" t="s">
        <v>1934</v>
      </c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</row>
    <row r="92" spans="3:26" s="238" customFormat="1" ht="18" customHeight="1">
      <c r="C92" s="403">
        <f>+C91</f>
        <v>4</v>
      </c>
      <c r="D92" s="540" t="str">
        <f>+'4.0'!D14</f>
        <v>420199</v>
      </c>
      <c r="E92" s="540" t="str">
        <f>+'4.0'!E14</f>
        <v>제품매출원가</v>
      </c>
      <c r="F92" s="404">
        <v>0</v>
      </c>
      <c r="G92" s="404">
        <v>0</v>
      </c>
      <c r="H92" s="404"/>
      <c r="I92" s="5"/>
      <c r="J92" s="5"/>
      <c r="K92" s="5"/>
      <c r="L92" s="5">
        <f>+$G92-$F92</f>
        <v>0</v>
      </c>
      <c r="M92" s="238" t="s">
        <v>1934</v>
      </c>
      <c r="N92" s="341"/>
      <c r="O92" s="341"/>
      <c r="P92" s="341"/>
      <c r="Q92" s="341"/>
      <c r="R92" s="341"/>
      <c r="S92" s="341"/>
      <c r="T92" s="341"/>
      <c r="U92" s="341"/>
      <c r="V92" s="341"/>
      <c r="W92" s="341"/>
      <c r="X92" s="341"/>
      <c r="Y92" s="341"/>
      <c r="Z92" s="341"/>
    </row>
    <row r="93" spans="3:26" s="238" customFormat="1" ht="18" customHeight="1">
      <c r="C93" s="403">
        <f>+C92</f>
        <v>4</v>
      </c>
      <c r="D93" s="540" t="str">
        <f>+'4.0'!D15</f>
        <v>340100</v>
      </c>
      <c r="E93" s="540" t="str">
        <f>+'4.0'!E15</f>
        <v>이월이익잉여금</v>
      </c>
      <c r="F93" s="404">
        <v>0</v>
      </c>
      <c r="G93" s="404">
        <v>0</v>
      </c>
      <c r="H93" s="404"/>
      <c r="I93" s="5"/>
      <c r="J93" s="5"/>
      <c r="K93" s="5">
        <f>+$G93-$F93</f>
        <v>0</v>
      </c>
      <c r="L93" s="5"/>
      <c r="M93" s="238" t="s">
        <v>1934</v>
      </c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</row>
    <row r="94" spans="3:26" s="238" customFormat="1" ht="18" customHeight="1">
      <c r="C94" s="403">
        <f>+C93</f>
        <v>4</v>
      </c>
      <c r="D94" s="540" t="str">
        <f>+'4.0'!D16</f>
        <v>420199</v>
      </c>
      <c r="E94" s="540" t="str">
        <f>+'4.0'!E16</f>
        <v>제품매출원가</v>
      </c>
      <c r="F94" s="404">
        <v>0</v>
      </c>
      <c r="G94" s="404">
        <v>0</v>
      </c>
      <c r="H94" s="404"/>
      <c r="I94" s="5"/>
      <c r="J94" s="5"/>
      <c r="K94" s="5"/>
      <c r="L94" s="5">
        <f>+$G94-$F94</f>
        <v>0</v>
      </c>
      <c r="M94" s="238" t="s">
        <v>1934</v>
      </c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</row>
    <row r="95" spans="3:26" s="238" customFormat="1" ht="18" customHeight="1">
      <c r="C95" s="403"/>
      <c r="D95" s="540"/>
      <c r="E95" s="540"/>
      <c r="F95" s="404"/>
      <c r="G95" s="404"/>
      <c r="H95" s="404"/>
      <c r="I95" s="5"/>
      <c r="J95" s="5"/>
      <c r="K95" s="5"/>
      <c r="L95" s="5"/>
      <c r="N95" s="341"/>
      <c r="O95" s="341"/>
      <c r="P95" s="341"/>
      <c r="Q95" s="341"/>
      <c r="R95" s="341"/>
      <c r="S95" s="341"/>
      <c r="T95" s="341"/>
      <c r="U95" s="341"/>
      <c r="V95" s="341"/>
      <c r="W95" s="341"/>
      <c r="X95" s="341"/>
      <c r="Y95" s="341"/>
      <c r="Z95" s="341"/>
    </row>
    <row r="96" spans="3:26" s="238" customFormat="1" ht="18" customHeight="1">
      <c r="C96" s="538">
        <v>4</v>
      </c>
      <c r="D96" s="539" t="str">
        <f>+'4.0'!D19</f>
        <v>아이리버 &gt; ent. 하향판매</v>
      </c>
      <c r="E96" s="401"/>
      <c r="F96" s="401"/>
      <c r="G96" s="401"/>
      <c r="H96" s="401"/>
      <c r="I96" s="5"/>
      <c r="J96" s="5"/>
      <c r="K96" s="5"/>
      <c r="L96" s="5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</row>
    <row r="97" spans="3:26" s="238" customFormat="1" ht="18" customHeight="1">
      <c r="C97" s="403">
        <f>+C96</f>
        <v>4</v>
      </c>
      <c r="D97" s="540" t="str">
        <f>+'4.0'!D33</f>
        <v>115200</v>
      </c>
      <c r="E97" s="540" t="str">
        <f>+'4.0'!E33</f>
        <v>제품</v>
      </c>
      <c r="F97" s="404">
        <v>0</v>
      </c>
      <c r="G97" s="404">
        <v>0</v>
      </c>
      <c r="H97" s="404"/>
      <c r="I97" s="5">
        <f>+$F97-$G97</f>
        <v>0</v>
      </c>
      <c r="J97" s="5"/>
      <c r="K97" s="5"/>
      <c r="L97" s="5"/>
      <c r="M97" s="238" t="s">
        <v>1934</v>
      </c>
      <c r="N97" s="341"/>
      <c r="O97" s="341"/>
      <c r="P97" s="341"/>
      <c r="Q97" s="341"/>
      <c r="R97" s="341"/>
      <c r="S97" s="341"/>
      <c r="T97" s="341"/>
      <c r="U97" s="341"/>
      <c r="V97" s="341"/>
      <c r="W97" s="341"/>
      <c r="X97" s="341"/>
      <c r="Y97" s="341"/>
      <c r="Z97" s="341"/>
    </row>
    <row r="98" spans="3:26" s="238" customFormat="1" ht="18" customHeight="1">
      <c r="C98" s="403">
        <f>+C97</f>
        <v>4</v>
      </c>
      <c r="D98" s="540" t="str">
        <f>+'4.0'!D34</f>
        <v>420199</v>
      </c>
      <c r="E98" s="540" t="str">
        <f>+'4.0'!E34</f>
        <v>제품매출원가</v>
      </c>
      <c r="F98" s="404">
        <v>0</v>
      </c>
      <c r="G98" s="404">
        <v>0</v>
      </c>
      <c r="H98" s="404"/>
      <c r="I98" s="5"/>
      <c r="J98" s="5"/>
      <c r="K98" s="5"/>
      <c r="L98" s="5">
        <f>+$G98-$F98</f>
        <v>0</v>
      </c>
      <c r="M98" s="238" t="s">
        <v>1934</v>
      </c>
      <c r="N98" s="341"/>
      <c r="O98" s="341"/>
      <c r="P98" s="341"/>
      <c r="Q98" s="341"/>
      <c r="R98" s="341"/>
      <c r="S98" s="341"/>
      <c r="T98" s="341"/>
      <c r="U98" s="341"/>
      <c r="V98" s="341"/>
      <c r="W98" s="341"/>
      <c r="X98" s="341"/>
      <c r="Y98" s="341"/>
      <c r="Z98" s="341"/>
    </row>
    <row r="99" spans="3:26" s="238" customFormat="1" ht="18" customHeight="1">
      <c r="C99" s="403">
        <f>+C98</f>
        <v>4</v>
      </c>
      <c r="D99" s="540" t="str">
        <f>+'4.0'!D35</f>
        <v>340100</v>
      </c>
      <c r="E99" s="540" t="str">
        <f>+'4.0'!E35</f>
        <v>이월이익잉여금</v>
      </c>
      <c r="F99" s="404">
        <v>0</v>
      </c>
      <c r="G99" s="404">
        <v>0</v>
      </c>
      <c r="H99" s="404"/>
      <c r="I99" s="5"/>
      <c r="J99" s="5"/>
      <c r="K99" s="5">
        <f>+$G99-$F99</f>
        <v>0</v>
      </c>
      <c r="L99" s="5"/>
      <c r="M99" s="238" t="s">
        <v>1934</v>
      </c>
      <c r="N99" s="341"/>
      <c r="O99" s="341"/>
      <c r="P99" s="341"/>
      <c r="Q99" s="341"/>
      <c r="R99" s="341"/>
      <c r="S99" s="341"/>
      <c r="T99" s="341"/>
      <c r="U99" s="341"/>
      <c r="V99" s="341"/>
      <c r="W99" s="341"/>
      <c r="X99" s="341"/>
      <c r="Y99" s="341"/>
      <c r="Z99" s="341"/>
    </row>
    <row r="100" spans="3:26" s="238" customFormat="1" ht="18" customHeight="1">
      <c r="C100" s="403">
        <f>+C99</f>
        <v>4</v>
      </c>
      <c r="D100" s="540" t="str">
        <f>+'4.0'!D36</f>
        <v>420199</v>
      </c>
      <c r="E100" s="540" t="str">
        <f>+'4.0'!E36</f>
        <v>제품매출원가</v>
      </c>
      <c r="F100" s="404">
        <v>0</v>
      </c>
      <c r="G100" s="404">
        <v>0</v>
      </c>
      <c r="H100" s="404"/>
      <c r="I100" s="5"/>
      <c r="J100" s="5"/>
      <c r="K100" s="5"/>
      <c r="L100" s="5">
        <f>+$G100-$F100</f>
        <v>0</v>
      </c>
      <c r="M100" s="238" t="s">
        <v>1934</v>
      </c>
      <c r="N100" s="341"/>
      <c r="O100" s="341"/>
      <c r="P100" s="341"/>
      <c r="Q100" s="341"/>
      <c r="R100" s="341"/>
      <c r="S100" s="341"/>
      <c r="T100" s="341"/>
      <c r="U100" s="341"/>
      <c r="V100" s="341"/>
      <c r="W100" s="341"/>
      <c r="X100" s="341"/>
      <c r="Y100" s="341"/>
      <c r="Z100" s="341"/>
    </row>
    <row r="101" spans="3:26" s="238" customFormat="1" ht="18" customHeight="1">
      <c r="C101" s="403"/>
      <c r="D101" s="540"/>
      <c r="E101" s="404"/>
      <c r="F101" s="404"/>
      <c r="G101" s="404"/>
      <c r="H101" s="404"/>
      <c r="I101" s="5"/>
      <c r="J101" s="5"/>
      <c r="K101" s="5"/>
      <c r="L101" s="5"/>
      <c r="N101" s="341"/>
      <c r="O101" s="341"/>
      <c r="P101" s="341"/>
      <c r="Q101" s="341"/>
      <c r="R101" s="341"/>
      <c r="S101" s="341"/>
      <c r="T101" s="341"/>
      <c r="U101" s="341"/>
      <c r="V101" s="341"/>
      <c r="W101" s="341"/>
      <c r="X101" s="341"/>
      <c r="Y101" s="341"/>
      <c r="Z101" s="341"/>
    </row>
    <row r="102" spans="3:26" s="238" customFormat="1" ht="18" customHeight="1">
      <c r="C102" s="538">
        <v>4</v>
      </c>
      <c r="D102" s="539" t="str">
        <f>+'4.0'!D39</f>
        <v>아이리버 &gt; LDC 하향판매</v>
      </c>
      <c r="E102" s="401"/>
      <c r="F102" s="401"/>
      <c r="G102" s="401"/>
      <c r="H102" s="401"/>
      <c r="I102" s="5"/>
      <c r="J102" s="5"/>
      <c r="K102" s="5"/>
      <c r="L102" s="5"/>
      <c r="N102" s="341"/>
      <c r="O102" s="341"/>
      <c r="P102" s="341"/>
      <c r="Q102" s="341"/>
      <c r="R102" s="341"/>
      <c r="S102" s="341"/>
      <c r="T102" s="341"/>
      <c r="U102" s="341"/>
      <c r="V102" s="341"/>
      <c r="W102" s="341"/>
      <c r="X102" s="341"/>
      <c r="Y102" s="341"/>
      <c r="Z102" s="341"/>
    </row>
    <row r="103" spans="3:26" s="238" customFormat="1" ht="18" customHeight="1">
      <c r="C103" s="403">
        <f>+C102</f>
        <v>4</v>
      </c>
      <c r="D103" s="540" t="str">
        <f>+'4.0'!D51</f>
        <v>115200</v>
      </c>
      <c r="E103" s="540" t="str">
        <f>+'4.0'!E51</f>
        <v>제품</v>
      </c>
      <c r="F103" s="404">
        <v>0</v>
      </c>
      <c r="G103" s="404">
        <v>3658730</v>
      </c>
      <c r="H103" s="404"/>
      <c r="I103" s="5">
        <f>+$F103-$G103</f>
        <v>-3658730</v>
      </c>
      <c r="J103" s="5"/>
      <c r="K103" s="5"/>
      <c r="L103" s="5"/>
      <c r="N103" s="341"/>
      <c r="O103" s="341"/>
      <c r="P103" s="341"/>
      <c r="Q103" s="341"/>
      <c r="R103" s="341"/>
      <c r="S103" s="341"/>
      <c r="T103" s="341"/>
      <c r="U103" s="341"/>
      <c r="V103" s="341"/>
      <c r="W103" s="341"/>
      <c r="X103" s="341"/>
      <c r="Y103" s="341"/>
      <c r="Z103" s="341"/>
    </row>
    <row r="104" spans="3:26" s="238" customFormat="1" ht="18" customHeight="1">
      <c r="C104" s="403">
        <f>+C103</f>
        <v>4</v>
      </c>
      <c r="D104" s="540" t="str">
        <f>+'4.0'!D50</f>
        <v>420199</v>
      </c>
      <c r="E104" s="540" t="str">
        <f>+'4.0'!E50</f>
        <v>제품매출원가</v>
      </c>
      <c r="F104" s="404">
        <v>3658730</v>
      </c>
      <c r="G104" s="404">
        <v>0</v>
      </c>
      <c r="H104" s="404"/>
      <c r="I104" s="5"/>
      <c r="J104" s="5"/>
      <c r="K104" s="5"/>
      <c r="L104" s="5">
        <f>+$G104-$F104</f>
        <v>-3658730</v>
      </c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1"/>
    </row>
    <row r="105" spans="3:26" s="238" customFormat="1" ht="18" customHeight="1">
      <c r="C105" s="403">
        <f>+C104</f>
        <v>4</v>
      </c>
      <c r="D105" s="540" t="str">
        <f>+'4.0'!D56</f>
        <v>340100</v>
      </c>
      <c r="E105" s="540" t="str">
        <f>+'4.0'!E56</f>
        <v>이월이익잉여금</v>
      </c>
      <c r="F105" s="404">
        <v>0</v>
      </c>
      <c r="G105" s="404">
        <v>0</v>
      </c>
      <c r="H105" s="404"/>
      <c r="I105" s="5"/>
      <c r="J105" s="5"/>
      <c r="K105" s="5">
        <f>+$G105-$F105</f>
        <v>0</v>
      </c>
      <c r="L105" s="5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</row>
    <row r="106" spans="3:26" s="238" customFormat="1" ht="18" customHeight="1">
      <c r="C106" s="403">
        <f>+C105</f>
        <v>4</v>
      </c>
      <c r="D106" s="540" t="str">
        <f>+'4.0'!D57</f>
        <v>420199</v>
      </c>
      <c r="E106" s="540" t="str">
        <f>+'4.0'!E57</f>
        <v>제품매출원가</v>
      </c>
      <c r="F106" s="404">
        <v>0</v>
      </c>
      <c r="G106" s="404">
        <v>0</v>
      </c>
      <c r="H106" s="404"/>
      <c r="I106" s="5"/>
      <c r="J106" s="5"/>
      <c r="K106" s="5"/>
      <c r="L106" s="5">
        <f>+$G106-$F106</f>
        <v>0</v>
      </c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</row>
    <row r="107" spans="3:26" s="238" customFormat="1" ht="18" customHeight="1">
      <c r="C107" s="403"/>
      <c r="D107" s="540"/>
      <c r="E107" s="404"/>
      <c r="F107" s="404"/>
      <c r="G107" s="404"/>
      <c r="H107" s="404"/>
      <c r="I107" s="5"/>
      <c r="J107" s="5"/>
      <c r="K107" s="5"/>
      <c r="L107" s="5"/>
      <c r="N107" s="341"/>
      <c r="O107" s="341"/>
      <c r="P107" s="341"/>
      <c r="Q107" s="341"/>
      <c r="R107" s="341"/>
      <c r="S107" s="341"/>
      <c r="T107" s="341"/>
      <c r="U107" s="341"/>
      <c r="V107" s="341"/>
      <c r="W107" s="341"/>
      <c r="X107" s="341"/>
      <c r="Y107" s="341"/>
      <c r="Z107" s="341"/>
    </row>
    <row r="108" spans="3:26" s="238" customFormat="1" ht="18" customHeight="1">
      <c r="C108" s="538">
        <v>4</v>
      </c>
      <c r="D108" s="539" t="str">
        <f>+'4.0'!D71</f>
        <v>그루버스_미실현손익 실현</v>
      </c>
      <c r="E108" s="401"/>
      <c r="F108" s="401"/>
      <c r="G108" s="401"/>
      <c r="H108" s="401"/>
      <c r="I108" s="5"/>
      <c r="J108" s="5"/>
      <c r="K108" s="5"/>
      <c r="L108" s="5"/>
      <c r="N108" s="341"/>
      <c r="O108" s="341"/>
      <c r="P108" s="341"/>
      <c r="Q108" s="341"/>
      <c r="R108" s="341"/>
      <c r="S108" s="341"/>
      <c r="T108" s="341"/>
      <c r="U108" s="341"/>
      <c r="V108" s="341"/>
      <c r="W108" s="341"/>
      <c r="X108" s="341"/>
      <c r="Y108" s="341"/>
      <c r="Z108" s="341"/>
    </row>
    <row r="109" spans="3:26" s="238" customFormat="1" ht="18" customHeight="1">
      <c r="C109" s="403">
        <f>+C108</f>
        <v>4</v>
      </c>
      <c r="D109" s="540" t="str">
        <f>+'4.0'!D72</f>
        <v>640000</v>
      </c>
      <c r="E109" s="540" t="str">
        <f>+'4.0'!E72</f>
        <v>지급수수료</v>
      </c>
      <c r="F109" s="404">
        <v>0</v>
      </c>
      <c r="G109" s="404">
        <v>0</v>
      </c>
      <c r="H109" s="404"/>
      <c r="I109" s="5"/>
      <c r="J109" s="5"/>
      <c r="K109" s="5"/>
      <c r="L109" s="5">
        <f>+$G109-$F109</f>
        <v>0</v>
      </c>
      <c r="M109" s="238" t="s">
        <v>1934</v>
      </c>
      <c r="N109" s="341"/>
      <c r="O109" s="341"/>
      <c r="P109" s="341"/>
      <c r="Q109" s="341"/>
      <c r="R109" s="341"/>
      <c r="S109" s="341"/>
      <c r="T109" s="341"/>
      <c r="U109" s="341"/>
      <c r="V109" s="341"/>
      <c r="W109" s="341"/>
      <c r="X109" s="341"/>
      <c r="Y109" s="341"/>
      <c r="Z109" s="341"/>
    </row>
    <row r="110" spans="3:26" s="238" customFormat="1" ht="18" customHeight="1">
      <c r="C110" s="403">
        <f>+C109</f>
        <v>4</v>
      </c>
      <c r="D110" s="540" t="str">
        <f>+'4.0'!D73</f>
        <v>340100</v>
      </c>
      <c r="E110" s="540" t="str">
        <f>+'4.0'!E73</f>
        <v>이월이익잉여금</v>
      </c>
      <c r="F110" s="404">
        <v>0</v>
      </c>
      <c r="G110" s="404">
        <v>0</v>
      </c>
      <c r="H110" s="404"/>
      <c r="I110" s="5"/>
      <c r="J110" s="5"/>
      <c r="K110" s="5">
        <f>+$G110-$F110</f>
        <v>0</v>
      </c>
      <c r="L110" s="5"/>
      <c r="M110" s="238" t="s">
        <v>1934</v>
      </c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</row>
    <row r="111" spans="3:26" s="238" customFormat="1" ht="18" customHeight="1">
      <c r="C111" s="403"/>
      <c r="D111" s="540"/>
      <c r="E111" s="404"/>
      <c r="F111" s="404"/>
      <c r="G111" s="404"/>
      <c r="H111" s="404"/>
      <c r="I111" s="5"/>
      <c r="J111" s="5"/>
      <c r="K111" s="5"/>
      <c r="L111" s="5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</row>
    <row r="112" spans="3:26" s="238" customFormat="1" ht="18" customHeight="1">
      <c r="C112" s="538">
        <v>6</v>
      </c>
      <c r="D112" s="539" t="str">
        <f>+'6.0'!$D6</f>
        <v>ENT,  INC., groovers jp 매출재분류 (연결관점에서는 Inc.의 매출이 제품매출)</v>
      </c>
      <c r="E112" s="401"/>
      <c r="F112" s="401"/>
      <c r="G112" s="401"/>
      <c r="H112" s="401"/>
      <c r="I112" s="5"/>
      <c r="J112" s="5"/>
      <c r="K112" s="5"/>
      <c r="L112" s="5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</row>
    <row r="113" spans="3:26" s="238" customFormat="1" ht="18" customHeight="1">
      <c r="C113" s="403">
        <v>6</v>
      </c>
      <c r="D113" s="540">
        <f>+'6.0'!$D7</f>
        <v>410100</v>
      </c>
      <c r="E113" s="404" t="str">
        <f>+'6.0'!$E7</f>
        <v>상품매출</v>
      </c>
      <c r="F113" s="404">
        <v>0</v>
      </c>
      <c r="G113" s="404">
        <v>0</v>
      </c>
      <c r="H113" s="404"/>
      <c r="I113" s="5"/>
      <c r="J113" s="5"/>
      <c r="K113" s="5"/>
      <c r="L113" s="5"/>
      <c r="N113" s="341"/>
      <c r="O113" s="341"/>
      <c r="P113" s="341"/>
      <c r="Q113" s="341"/>
      <c r="R113" s="341"/>
      <c r="S113" s="341"/>
      <c r="T113" s="341"/>
      <c r="U113" s="341"/>
      <c r="V113" s="341"/>
      <c r="W113" s="341"/>
      <c r="X113" s="341"/>
      <c r="Y113" s="341"/>
      <c r="Z113" s="341"/>
    </row>
    <row r="114" spans="3:26" s="238" customFormat="1" ht="18" customHeight="1">
      <c r="C114" s="403">
        <v>6</v>
      </c>
      <c r="D114" s="540">
        <f>+'6.0'!$D8</f>
        <v>410200</v>
      </c>
      <c r="E114" s="404" t="str">
        <f>+'6.0'!$E8</f>
        <v>제품매출</v>
      </c>
      <c r="F114" s="404">
        <v>0</v>
      </c>
      <c r="G114" s="404">
        <v>0</v>
      </c>
      <c r="H114" s="404"/>
      <c r="I114" s="5"/>
      <c r="J114" s="5"/>
      <c r="K114" s="5"/>
      <c r="L114" s="5"/>
      <c r="N114" s="341"/>
      <c r="O114" s="341"/>
      <c r="P114" s="341"/>
      <c r="Q114" s="341"/>
      <c r="R114" s="341"/>
      <c r="S114" s="341"/>
      <c r="T114" s="341"/>
      <c r="U114" s="341"/>
      <c r="V114" s="341"/>
      <c r="W114" s="341"/>
      <c r="X114" s="341"/>
      <c r="Y114" s="341"/>
      <c r="Z114" s="341"/>
    </row>
    <row r="115" spans="3:26" s="238" customFormat="1" ht="18" customHeight="1">
      <c r="C115" s="406">
        <v>6</v>
      </c>
      <c r="D115" s="540" t="str">
        <f>+'6.0'!$D9</f>
        <v>420090</v>
      </c>
      <c r="E115" s="404" t="str">
        <f>+'6.0'!$E9</f>
        <v>상품매출원가</v>
      </c>
      <c r="F115" s="404">
        <v>0</v>
      </c>
      <c r="G115" s="404">
        <v>0</v>
      </c>
      <c r="H115" s="404"/>
      <c r="I115" s="5"/>
      <c r="J115" s="5"/>
      <c r="K115" s="5"/>
      <c r="L115" s="5"/>
      <c r="N115" s="341"/>
      <c r="O115" s="341"/>
      <c r="P115" s="341"/>
      <c r="Q115" s="341"/>
      <c r="R115" s="341"/>
      <c r="S115" s="341"/>
      <c r="T115" s="341"/>
      <c r="U115" s="341"/>
      <c r="V115" s="341"/>
      <c r="W115" s="341"/>
      <c r="X115" s="341"/>
      <c r="Y115" s="341"/>
      <c r="Z115" s="341"/>
    </row>
    <row r="116" spans="3:26" s="238" customFormat="1" ht="18" customHeight="1">
      <c r="C116" s="407">
        <v>6</v>
      </c>
      <c r="D116" s="544" t="str">
        <f>+'6.0'!$D10</f>
        <v>420199</v>
      </c>
      <c r="E116" s="540" t="str">
        <f>+'6.0'!$E10</f>
        <v>제품매출원가</v>
      </c>
      <c r="F116" s="404">
        <v>0</v>
      </c>
      <c r="G116" s="404">
        <v>0</v>
      </c>
      <c r="H116" s="404"/>
      <c r="I116" s="5"/>
      <c r="J116" s="5"/>
      <c r="K116" s="5"/>
      <c r="L116" s="5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</row>
    <row r="117" spans="3:26" ht="18" customHeight="1">
      <c r="C117" s="538">
        <v>6</v>
      </c>
      <c r="D117" s="539" t="str">
        <f>+'6.0'!$D13</f>
        <v>기타조정</v>
      </c>
      <c r="E117" s="401"/>
      <c r="F117" s="401"/>
      <c r="G117" s="401"/>
      <c r="H117" s="40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</row>
    <row r="118" spans="3:26" s="238" customFormat="1" ht="18" customHeight="1">
      <c r="C118" s="403">
        <v>6</v>
      </c>
      <c r="D118" s="540" t="str">
        <f>+'6.0'!$D14</f>
        <v>643000</v>
      </c>
      <c r="E118" s="404" t="str">
        <f>+'6.0'!$E14</f>
        <v>대손상각비</v>
      </c>
      <c r="F118" s="404">
        <v>0</v>
      </c>
      <c r="G118" s="404">
        <v>0</v>
      </c>
      <c r="H118" s="404"/>
      <c r="I118" s="5"/>
      <c r="J118" s="5"/>
      <c r="K118" s="5"/>
      <c r="L118" s="5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</row>
    <row r="119" spans="3:26" s="238" customFormat="1" ht="18" customHeight="1">
      <c r="C119" s="403">
        <v>6</v>
      </c>
      <c r="D119" s="540" t="str">
        <f>+'6.0'!$D15</f>
        <v>640000</v>
      </c>
      <c r="E119" s="540" t="str">
        <f>+'6.0'!$E15</f>
        <v>지급수수료</v>
      </c>
      <c r="F119" s="404">
        <v>0</v>
      </c>
      <c r="G119" s="404">
        <v>0</v>
      </c>
      <c r="H119" s="404"/>
      <c r="I119" s="5"/>
      <c r="J119" s="5"/>
      <c r="K119" s="5"/>
      <c r="L119" s="5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</row>
    <row r="120" spans="3:26" s="238" customFormat="1" ht="18" customHeight="1">
      <c r="C120" s="538">
        <v>6</v>
      </c>
      <c r="D120" s="539" t="s">
        <v>1918</v>
      </c>
      <c r="E120" s="401"/>
      <c r="F120" s="401"/>
      <c r="G120" s="401"/>
      <c r="H120" s="401"/>
      <c r="I120" s="5"/>
      <c r="J120" s="5"/>
      <c r="K120" s="5"/>
      <c r="L120" s="5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</row>
    <row r="121" spans="3:26" s="238" customFormat="1" ht="18" customHeight="1">
      <c r="C121" s="408">
        <v>6</v>
      </c>
      <c r="D121" s="540" t="str">
        <f>+'6.0'!$D17</f>
        <v>111731</v>
      </c>
      <c r="E121" s="404" t="str">
        <f>+'6.0'!$E17</f>
        <v>외상매출금(외화)</v>
      </c>
      <c r="F121" s="404">
        <v>0</v>
      </c>
      <c r="G121" s="404">
        <v>327031541</v>
      </c>
      <c r="H121" s="404"/>
      <c r="I121" s="5"/>
      <c r="J121" s="5"/>
      <c r="K121" s="5"/>
      <c r="L121" s="5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</row>
    <row r="122" spans="3:26" s="238" customFormat="1" ht="18" customHeight="1">
      <c r="C122" s="408">
        <v>6</v>
      </c>
      <c r="D122" s="540" t="str">
        <f>+'6.0'!$D18</f>
        <v>112113</v>
      </c>
      <c r="E122" s="404" t="str">
        <f>+'6.0'!$E18</f>
        <v>미수금(외화_일반)</v>
      </c>
      <c r="F122" s="404">
        <v>327031541</v>
      </c>
      <c r="G122" s="404">
        <v>0</v>
      </c>
      <c r="H122" s="404"/>
      <c r="I122" s="5"/>
      <c r="J122" s="5"/>
      <c r="K122" s="5"/>
      <c r="L122" s="5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</row>
    <row r="123" spans="3:26" s="238" customFormat="1" ht="18" customHeight="1">
      <c r="C123" s="408">
        <v>6</v>
      </c>
      <c r="D123" s="540" t="str">
        <f>+'6.0'!$D19</f>
        <v>121800</v>
      </c>
      <c r="E123" s="404" t="str">
        <f>+'6.0'!$E19</f>
        <v>외상매출금(외화_비유동)</v>
      </c>
      <c r="F123" s="404">
        <v>0</v>
      </c>
      <c r="G123" s="404">
        <v>300136621</v>
      </c>
      <c r="H123" s="404"/>
      <c r="I123" s="5"/>
      <c r="J123" s="5"/>
      <c r="K123" s="5"/>
      <c r="L123" s="5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</row>
    <row r="124" spans="3:26" s="238" customFormat="1" ht="18" customHeight="1">
      <c r="C124" s="403">
        <v>6</v>
      </c>
      <c r="D124" s="540" t="str">
        <f>+'6.0'!$D20</f>
        <v>121805**</v>
      </c>
      <c r="E124" s="404" t="str">
        <f>+'6.0'!$E20</f>
        <v>장기미수금</v>
      </c>
      <c r="F124" s="404">
        <v>300136621</v>
      </c>
      <c r="G124" s="404">
        <v>0</v>
      </c>
      <c r="H124" s="404"/>
      <c r="I124" s="5"/>
      <c r="J124" s="5"/>
      <c r="K124" s="5"/>
      <c r="L124" s="5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</row>
    <row r="125" spans="3:26" s="238" customFormat="1" ht="18" customHeight="1">
      <c r="C125" s="403"/>
      <c r="D125" s="540"/>
      <c r="E125" s="404"/>
      <c r="F125" s="404"/>
      <c r="G125" s="404"/>
      <c r="H125" s="404"/>
      <c r="I125" s="5"/>
      <c r="J125" s="5"/>
      <c r="K125" s="5"/>
      <c r="L125" s="5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</row>
    <row r="126" spans="3:26" s="238" customFormat="1" ht="18" customHeight="1">
      <c r="C126" s="538" t="s">
        <v>1939</v>
      </c>
      <c r="D126" s="539" t="s">
        <v>1922</v>
      </c>
      <c r="E126" s="401"/>
      <c r="F126" s="401"/>
      <c r="G126" s="401"/>
      <c r="H126" s="401"/>
      <c r="I126" s="5"/>
      <c r="J126" s="5"/>
      <c r="K126" s="5"/>
      <c r="L126" s="5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</row>
    <row r="127" spans="3:26" ht="18" customHeight="1">
      <c r="C127" s="394" t="s">
        <v>1938</v>
      </c>
      <c r="D127" s="545">
        <v>310100</v>
      </c>
      <c r="E127" s="52" t="s">
        <v>10</v>
      </c>
      <c r="F127" s="52">
        <v>37013277500</v>
      </c>
      <c r="G127" s="52"/>
      <c r="H127" s="52"/>
      <c r="K127" s="541">
        <f>+$G127-$F127</f>
        <v>-37013277500</v>
      </c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</row>
    <row r="128" spans="3:26" ht="18" customHeight="1">
      <c r="C128" s="394" t="s">
        <v>1938</v>
      </c>
      <c r="D128" s="545">
        <v>900019</v>
      </c>
      <c r="E128" s="52" t="s">
        <v>81</v>
      </c>
      <c r="F128" s="52"/>
      <c r="G128" s="52">
        <v>2042283617</v>
      </c>
      <c r="H128" s="52"/>
      <c r="I128" s="541">
        <f>+$F128-$G128</f>
        <v>-2042283617</v>
      </c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</row>
    <row r="129" spans="3:26" ht="18" customHeight="1">
      <c r="C129" s="394" t="s">
        <v>1938</v>
      </c>
      <c r="D129" s="545" t="s">
        <v>378</v>
      </c>
      <c r="E129" s="546" t="s">
        <v>377</v>
      </c>
      <c r="F129" s="52">
        <v>-1401597960</v>
      </c>
      <c r="G129" s="52"/>
      <c r="H129" s="52"/>
      <c r="L129" s="541">
        <f>+$G129-$F129</f>
        <v>1401597960</v>
      </c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</row>
    <row r="130" spans="3:26" ht="18" customHeight="1">
      <c r="C130" s="394" t="s">
        <v>1938</v>
      </c>
      <c r="D130" s="545" t="s">
        <v>1356</v>
      </c>
      <c r="E130" s="52" t="s">
        <v>207</v>
      </c>
      <c r="F130" s="52"/>
      <c r="G130" s="52">
        <v>33569395923</v>
      </c>
      <c r="H130" s="52"/>
      <c r="K130" s="5">
        <f>+$G130-$F130</f>
        <v>33569395923</v>
      </c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</row>
    <row r="131" spans="3:26" ht="18" customHeight="1">
      <c r="C131" s="394" t="s">
        <v>1938</v>
      </c>
      <c r="D131" s="545"/>
      <c r="E131" s="52"/>
      <c r="F131" s="52"/>
      <c r="G131" s="52"/>
      <c r="H131" s="52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</row>
    <row r="132" spans="3:26" ht="18" customHeight="1">
      <c r="C132" s="538" t="s">
        <v>1938</v>
      </c>
      <c r="D132" s="539" t="s">
        <v>1923</v>
      </c>
      <c r="E132" s="401"/>
      <c r="F132" s="401"/>
      <c r="G132" s="401"/>
      <c r="H132" s="401"/>
    </row>
    <row r="133" spans="3:26" ht="18" customHeight="1">
      <c r="C133" s="394" t="s">
        <v>1938</v>
      </c>
      <c r="D133" s="545">
        <v>310100</v>
      </c>
      <c r="E133" s="52" t="s">
        <v>10</v>
      </c>
      <c r="F133" s="52">
        <v>511470000</v>
      </c>
      <c r="G133" s="52"/>
      <c r="H133" s="52" t="s">
        <v>1925</v>
      </c>
      <c r="K133" s="541">
        <f>+$G133-$F133</f>
        <v>-511470000</v>
      </c>
    </row>
    <row r="134" spans="3:26" ht="18" customHeight="1">
      <c r="C134" s="394" t="s">
        <v>1938</v>
      </c>
      <c r="D134" s="545">
        <v>900019</v>
      </c>
      <c r="E134" s="52" t="s">
        <v>81</v>
      </c>
      <c r="F134" s="52"/>
      <c r="G134" s="52">
        <v>29999999995</v>
      </c>
      <c r="H134" s="52"/>
      <c r="I134" s="541">
        <f>+$F134-$G134</f>
        <v>-29999999995</v>
      </c>
    </row>
    <row r="135" spans="3:26" ht="18" customHeight="1">
      <c r="C135" s="394" t="s">
        <v>1938</v>
      </c>
      <c r="D135" s="545" t="s">
        <v>128</v>
      </c>
      <c r="E135" s="52" t="s">
        <v>1924</v>
      </c>
      <c r="F135" s="52">
        <v>21748156278</v>
      </c>
      <c r="G135" s="52"/>
      <c r="H135" s="52"/>
      <c r="I135" s="541">
        <f>+$F135-$G135</f>
        <v>21748156278</v>
      </c>
    </row>
    <row r="136" spans="3:26" ht="18" customHeight="1">
      <c r="C136" s="394" t="s">
        <v>1938</v>
      </c>
      <c r="D136" s="545" t="s">
        <v>1356</v>
      </c>
      <c r="E136" s="52" t="s">
        <v>207</v>
      </c>
      <c r="F136" s="52">
        <v>3387647121</v>
      </c>
      <c r="G136" s="52"/>
      <c r="H136" s="52"/>
      <c r="K136" s="5">
        <f>+$G136-$F136</f>
        <v>-3387647121</v>
      </c>
    </row>
    <row r="137" spans="3:26" ht="18" customHeight="1">
      <c r="C137" s="394" t="s">
        <v>1938</v>
      </c>
      <c r="D137" s="545" t="s">
        <v>487</v>
      </c>
      <c r="E137" s="52" t="s">
        <v>450</v>
      </c>
      <c r="F137" s="52">
        <v>6676985115</v>
      </c>
      <c r="G137" s="52"/>
      <c r="H137" s="52"/>
      <c r="I137" s="541">
        <f>+$F137-$G137</f>
        <v>6676985115</v>
      </c>
    </row>
    <row r="138" spans="3:26" ht="18" customHeight="1">
      <c r="C138" s="394" t="s">
        <v>1938</v>
      </c>
      <c r="D138" s="545" t="s">
        <v>1348</v>
      </c>
      <c r="E138" s="52" t="s">
        <v>453</v>
      </c>
      <c r="F138" s="52"/>
      <c r="G138" s="52">
        <v>2324258519</v>
      </c>
      <c r="H138" s="52"/>
      <c r="J138" s="541">
        <f>+$G138-$F138</f>
        <v>2324258519</v>
      </c>
    </row>
    <row r="139" spans="3:26" ht="18" customHeight="1">
      <c r="C139" s="394" t="s">
        <v>1938</v>
      </c>
      <c r="D139" s="545"/>
      <c r="E139" s="52"/>
      <c r="F139" s="52"/>
      <c r="G139" s="52"/>
      <c r="H139" s="52"/>
    </row>
    <row r="140" spans="3:26" ht="18" customHeight="1">
      <c r="C140" s="394" t="s">
        <v>1938</v>
      </c>
      <c r="D140" s="545" t="s">
        <v>487</v>
      </c>
      <c r="E140" s="52" t="s">
        <v>450</v>
      </c>
      <c r="F140" s="52"/>
      <c r="G140" s="52">
        <v>222566171</v>
      </c>
      <c r="H140" s="547" t="s">
        <v>1926</v>
      </c>
      <c r="I140" s="541">
        <f>+$F140-$G140</f>
        <v>-222566171</v>
      </c>
    </row>
    <row r="141" spans="3:26" ht="18" customHeight="1">
      <c r="C141" s="394" t="s">
        <v>1938</v>
      </c>
      <c r="D141" s="545" t="s">
        <v>1356</v>
      </c>
      <c r="E141" s="52" t="s">
        <v>207</v>
      </c>
      <c r="F141" s="52">
        <v>222566171</v>
      </c>
      <c r="G141" s="52"/>
      <c r="H141" s="52"/>
      <c r="K141" s="5">
        <f>+$G141-$F141</f>
        <v>-222566171</v>
      </c>
    </row>
    <row r="142" spans="3:26" ht="18" customHeight="1">
      <c r="C142" s="394" t="s">
        <v>1938</v>
      </c>
      <c r="D142" s="545" t="s">
        <v>1356</v>
      </c>
      <c r="E142" s="52" t="s">
        <v>207</v>
      </c>
      <c r="F142" s="52"/>
      <c r="G142" s="52">
        <v>77475284</v>
      </c>
      <c r="H142" s="52"/>
      <c r="K142" s="5">
        <f>+$G142-$F142</f>
        <v>77475284</v>
      </c>
    </row>
    <row r="143" spans="3:26" ht="18" customHeight="1">
      <c r="C143" s="394" t="s">
        <v>1938</v>
      </c>
      <c r="D143" s="545" t="s">
        <v>1348</v>
      </c>
      <c r="E143" s="52" t="s">
        <v>453</v>
      </c>
      <c r="F143" s="52">
        <v>77475284</v>
      </c>
      <c r="G143" s="52"/>
      <c r="H143" s="52"/>
      <c r="J143" s="541">
        <f>+$G143-$F143</f>
        <v>-77475284</v>
      </c>
    </row>
    <row r="144" spans="3:26" ht="18" customHeight="1">
      <c r="C144" s="394" t="s">
        <v>1938</v>
      </c>
      <c r="D144" s="545"/>
      <c r="E144" s="52"/>
      <c r="F144" s="52"/>
      <c r="G144" s="52"/>
      <c r="H144" s="52"/>
    </row>
    <row r="145" spans="3:13" ht="18" customHeight="1">
      <c r="C145" s="394" t="s">
        <v>1938</v>
      </c>
      <c r="D145" s="545" t="s">
        <v>487</v>
      </c>
      <c r="E145" s="52" t="s">
        <v>450</v>
      </c>
      <c r="F145" s="52"/>
      <c r="G145" s="52">
        <v>722910343</v>
      </c>
      <c r="H145" s="547" t="s">
        <v>1927</v>
      </c>
      <c r="I145" s="541">
        <f>+$F145-$G145</f>
        <v>-722910343</v>
      </c>
    </row>
    <row r="146" spans="3:13" ht="18" customHeight="1">
      <c r="C146" s="394" t="s">
        <v>1938</v>
      </c>
      <c r="D146" s="545" t="s">
        <v>1356</v>
      </c>
      <c r="E146" s="52" t="s">
        <v>207</v>
      </c>
      <c r="F146" s="52">
        <v>640750760</v>
      </c>
      <c r="G146" s="52"/>
      <c r="H146" s="52"/>
      <c r="K146" s="5">
        <f>+$G146-$F146</f>
        <v>-640750760</v>
      </c>
    </row>
    <row r="147" spans="3:13" ht="18" customHeight="1">
      <c r="C147" s="394" t="s">
        <v>1938</v>
      </c>
      <c r="D147" s="545" t="s">
        <v>1356</v>
      </c>
      <c r="E147" s="52" t="s">
        <v>207</v>
      </c>
      <c r="F147" s="52"/>
      <c r="G147" s="52">
        <v>223045329</v>
      </c>
      <c r="H147" s="52"/>
      <c r="K147" s="5">
        <f>+$G147-$F147</f>
        <v>223045329</v>
      </c>
    </row>
    <row r="148" spans="3:13" ht="18" customHeight="1">
      <c r="C148" s="394" t="s">
        <v>1938</v>
      </c>
      <c r="D148" s="545" t="s">
        <v>1348</v>
      </c>
      <c r="E148" s="52" t="s">
        <v>453</v>
      </c>
      <c r="F148" s="52">
        <v>251645076</v>
      </c>
      <c r="G148" s="52"/>
      <c r="H148" s="52"/>
      <c r="J148" s="541">
        <f>+$G148-$F148</f>
        <v>-251645076</v>
      </c>
    </row>
    <row r="149" spans="3:13" ht="18" customHeight="1">
      <c r="C149" s="394" t="s">
        <v>1938</v>
      </c>
      <c r="D149" s="545" t="s">
        <v>1354</v>
      </c>
      <c r="E149" s="52" t="s">
        <v>204</v>
      </c>
      <c r="F149" s="52">
        <v>53559836</v>
      </c>
      <c r="G149" s="52"/>
      <c r="H149" s="52"/>
      <c r="K149" s="5">
        <f>+$G149-$F149</f>
        <v>-53559836</v>
      </c>
    </row>
    <row r="150" spans="3:13" ht="18" customHeight="1">
      <c r="C150" s="394" t="s">
        <v>1938</v>
      </c>
      <c r="D150" s="545"/>
      <c r="E150" s="52"/>
      <c r="F150" s="52"/>
      <c r="G150" s="52"/>
      <c r="H150" s="52"/>
      <c r="M150" s="5">
        <f>SUM('5.1'!M22:Q22)</f>
        <v>395704704</v>
      </c>
    </row>
    <row r="151" spans="3:13" ht="18" customHeight="1">
      <c r="C151" s="394" t="s">
        <v>1938</v>
      </c>
      <c r="D151" s="545" t="s">
        <v>487</v>
      </c>
      <c r="E151" s="52" t="s">
        <v>450</v>
      </c>
      <c r="F151" s="52"/>
      <c r="G151" s="52">
        <v>409665440</v>
      </c>
      <c r="H151" s="547" t="s">
        <v>1927</v>
      </c>
      <c r="I151" s="541">
        <f>+$F151-$G151</f>
        <v>-409665440</v>
      </c>
    </row>
    <row r="152" spans="3:13" ht="18" customHeight="1">
      <c r="C152" s="394" t="s">
        <v>1938</v>
      </c>
      <c r="D152" s="545" t="s">
        <v>390</v>
      </c>
      <c r="E152" s="52" t="s">
        <v>451</v>
      </c>
      <c r="F152" s="52">
        <v>685224178</v>
      </c>
      <c r="G152" s="52"/>
      <c r="H152" s="52"/>
      <c r="L152" s="541">
        <f>+$G152-$F152</f>
        <v>-685224178</v>
      </c>
    </row>
    <row r="153" spans="3:13" ht="18" customHeight="1">
      <c r="C153" s="394" t="s">
        <v>1938</v>
      </c>
      <c r="D153" s="545" t="s">
        <v>381</v>
      </c>
      <c r="E153" s="52" t="s">
        <v>452</v>
      </c>
      <c r="F153" s="52"/>
      <c r="G153" s="52">
        <v>238526523</v>
      </c>
      <c r="H153" s="52"/>
      <c r="L153" s="541">
        <f>+$G153-$F153</f>
        <v>238526523</v>
      </c>
    </row>
    <row r="154" spans="3:13" ht="18" customHeight="1">
      <c r="C154" s="394" t="s">
        <v>1938</v>
      </c>
      <c r="D154" s="545" t="s">
        <v>1348</v>
      </c>
      <c r="E154" s="52" t="s">
        <v>453</v>
      </c>
      <c r="F154" s="52">
        <v>142604525</v>
      </c>
      <c r="G154" s="52"/>
      <c r="H154" s="52"/>
      <c r="J154" s="541">
        <f>+$G154-$F154</f>
        <v>-142604525</v>
      </c>
    </row>
    <row r="155" spans="3:13" ht="18" customHeight="1">
      <c r="C155" s="394" t="s">
        <v>1938</v>
      </c>
      <c r="D155" s="545" t="s">
        <v>1354</v>
      </c>
      <c r="E155" s="52" t="s">
        <v>204</v>
      </c>
      <c r="F155" s="52">
        <v>-179636740</v>
      </c>
      <c r="G155" s="52"/>
      <c r="H155" s="52"/>
      <c r="K155" s="5">
        <f>+$G155-$F155</f>
        <v>179636740</v>
      </c>
    </row>
    <row r="156" spans="3:13" ht="18" customHeight="1">
      <c r="C156" s="394" t="s">
        <v>1938</v>
      </c>
      <c r="D156" s="545"/>
      <c r="E156" s="52"/>
      <c r="F156" s="52"/>
      <c r="G156" s="52"/>
      <c r="H156" s="52"/>
      <c r="M156" s="5">
        <f>SUM('5.1'!R22:U22)</f>
        <v>-81295376</v>
      </c>
    </row>
    <row r="157" spans="3:13" ht="18" customHeight="1">
      <c r="C157" s="394" t="s">
        <v>1938</v>
      </c>
      <c r="D157" s="545" t="s">
        <v>128</v>
      </c>
      <c r="E157" s="52" t="s">
        <v>129</v>
      </c>
      <c r="F157" s="52"/>
      <c r="G157" s="52">
        <v>207501906</v>
      </c>
      <c r="H157" s="547" t="s">
        <v>1928</v>
      </c>
      <c r="I157" s="541">
        <f>+$F157-$G157</f>
        <v>-207501906</v>
      </c>
    </row>
    <row r="158" spans="3:13" ht="18" customHeight="1">
      <c r="C158" s="394" t="s">
        <v>1938</v>
      </c>
      <c r="D158" s="545" t="s">
        <v>1354</v>
      </c>
      <c r="E158" s="52" t="s">
        <v>204</v>
      </c>
      <c r="F158" s="52"/>
      <c r="G158" s="52">
        <v>-207501906</v>
      </c>
      <c r="H158" s="52"/>
      <c r="K158" s="5">
        <f>+$G158-$F158</f>
        <v>-207501906</v>
      </c>
    </row>
    <row r="159" spans="3:13" ht="18" customHeight="1">
      <c r="C159" s="394" t="s">
        <v>1938</v>
      </c>
      <c r="D159" s="545"/>
      <c r="E159" s="52"/>
      <c r="F159" s="52"/>
      <c r="G159" s="52"/>
      <c r="H159" s="52"/>
    </row>
    <row r="160" spans="3:13" ht="18" customHeight="1">
      <c r="C160" s="394" t="s">
        <v>1938</v>
      </c>
      <c r="D160" s="545" t="s">
        <v>128</v>
      </c>
      <c r="E160" s="52" t="s">
        <v>129</v>
      </c>
      <c r="F160" s="52"/>
      <c r="G160" s="52">
        <v>-1069187616</v>
      </c>
      <c r="H160" s="547" t="s">
        <v>1929</v>
      </c>
      <c r="I160" s="541">
        <f>+$F160-$G160</f>
        <v>1069187616</v>
      </c>
    </row>
    <row r="161" spans="3:12" ht="18" customHeight="1">
      <c r="C161" s="394" t="s">
        <v>1938</v>
      </c>
      <c r="D161" s="545" t="s">
        <v>1354</v>
      </c>
      <c r="E161" s="52" t="s">
        <v>204</v>
      </c>
      <c r="F161" s="52"/>
      <c r="G161" s="52">
        <f>-G160</f>
        <v>1069187616</v>
      </c>
      <c r="H161" s="52"/>
      <c r="K161" s="5">
        <f>+$G161-$F161</f>
        <v>1069187616</v>
      </c>
    </row>
    <row r="162" spans="3:12" ht="18" customHeight="1">
      <c r="C162" s="394" t="s">
        <v>1938</v>
      </c>
      <c r="D162" s="545"/>
      <c r="E162" s="52"/>
      <c r="F162" s="52"/>
      <c r="G162" s="52"/>
      <c r="H162" s="52"/>
    </row>
    <row r="163" spans="3:12" ht="18" customHeight="1">
      <c r="C163" s="394" t="s">
        <v>1938</v>
      </c>
      <c r="D163" s="545">
        <v>2508</v>
      </c>
      <c r="E163" s="52" t="s">
        <v>131</v>
      </c>
      <c r="F163" s="52"/>
      <c r="G163" s="52">
        <v>20593687255</v>
      </c>
      <c r="H163" s="547" t="s">
        <v>1930</v>
      </c>
      <c r="I163" s="541">
        <f>+$F163-$G163</f>
        <v>-20593687255</v>
      </c>
    </row>
    <row r="164" spans="3:12" ht="18" customHeight="1">
      <c r="C164" s="394" t="s">
        <v>1938</v>
      </c>
      <c r="D164" s="545" t="s">
        <v>362</v>
      </c>
      <c r="E164" s="52" t="s">
        <v>486</v>
      </c>
      <c r="F164" s="52">
        <v>20593687255</v>
      </c>
      <c r="G164" s="52"/>
      <c r="H164" s="52"/>
      <c r="L164" s="541">
        <f>+$G164-$F164</f>
        <v>-20593687255</v>
      </c>
    </row>
    <row r="165" spans="3:12" ht="18" customHeight="1">
      <c r="C165" s="394" t="s">
        <v>1938</v>
      </c>
      <c r="D165" s="545"/>
      <c r="E165" s="52"/>
      <c r="F165" s="52"/>
      <c r="G165" s="52"/>
      <c r="H165" s="52"/>
    </row>
    <row r="166" spans="3:12" ht="18" customHeight="1">
      <c r="C166" s="394" t="s">
        <v>1938</v>
      </c>
      <c r="D166" s="545">
        <v>900019</v>
      </c>
      <c r="E166" s="52" t="s">
        <v>81</v>
      </c>
      <c r="F166" s="52"/>
      <c r="G166" s="52">
        <v>-24071000000</v>
      </c>
      <c r="H166" s="547" t="s">
        <v>1931</v>
      </c>
      <c r="I166" s="541">
        <f>+$F166-$G166</f>
        <v>24071000000</v>
      </c>
    </row>
    <row r="167" spans="3:12" ht="18" customHeight="1">
      <c r="C167" s="394" t="s">
        <v>1938</v>
      </c>
      <c r="D167" s="545" t="s">
        <v>378</v>
      </c>
      <c r="E167" s="546" t="s">
        <v>377</v>
      </c>
      <c r="F167" s="52">
        <v>-24071000000</v>
      </c>
      <c r="G167" s="52"/>
      <c r="H167" s="52"/>
      <c r="L167" s="541">
        <f>+$G167-$F167</f>
        <v>24071000000</v>
      </c>
    </row>
    <row r="168" spans="3:12" ht="18" customHeight="1">
      <c r="C168" s="394" t="s">
        <v>1938</v>
      </c>
      <c r="D168" s="545"/>
      <c r="E168" s="52"/>
      <c r="F168" s="52"/>
      <c r="G168" s="52"/>
      <c r="H168" s="52"/>
    </row>
    <row r="169" spans="3:12" ht="18" customHeight="1">
      <c r="C169" s="394" t="s">
        <v>1938</v>
      </c>
      <c r="D169" s="545"/>
      <c r="E169" s="52"/>
      <c r="F169" s="52"/>
      <c r="G169" s="52"/>
      <c r="H169" s="52"/>
    </row>
    <row r="170" spans="3:12" ht="18" customHeight="1">
      <c r="C170" s="394" t="s">
        <v>1938</v>
      </c>
      <c r="D170" s="545"/>
      <c r="E170" s="52"/>
      <c r="F170" s="52"/>
      <c r="G170" s="52"/>
      <c r="H170" s="52"/>
    </row>
    <row r="171" spans="3:12" ht="18" customHeight="1">
      <c r="C171" s="394"/>
      <c r="D171" s="545"/>
      <c r="E171" s="52"/>
      <c r="F171" s="52"/>
      <c r="G171" s="52"/>
      <c r="H171" s="52"/>
    </row>
    <row r="172" spans="3:12" ht="18" customHeight="1">
      <c r="C172" s="394"/>
      <c r="D172" s="545"/>
      <c r="E172" s="52"/>
      <c r="F172" s="52"/>
      <c r="G172" s="52"/>
      <c r="H172" s="52"/>
    </row>
    <row r="173" spans="3:12" ht="18" customHeight="1" thickBot="1">
      <c r="C173" s="397"/>
      <c r="D173" s="548"/>
      <c r="E173" s="55"/>
      <c r="F173" s="55"/>
      <c r="G173" s="55"/>
      <c r="H173" s="55"/>
    </row>
  </sheetData>
  <autoFilter ref="C5:AA173" xr:uid="{00000000-0009-0000-0000-00000F000000}"/>
  <phoneticPr fontId="2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223055"/>
  </sheetPr>
  <dimension ref="D3:S54"/>
  <sheetViews>
    <sheetView showGridLines="0" zoomScale="80" zoomScaleNormal="80" workbookViewId="0">
      <pane xSplit="5" ySplit="5" topLeftCell="F6" activePane="bottomRight" state="frozen"/>
      <selection activeCell="J13" sqref="J13"/>
      <selection pane="topRight" activeCell="J13" sqref="J13"/>
      <selection pane="bottomLeft" activeCell="J13" sqref="J13"/>
      <selection pane="bottomRight" activeCell="N29" sqref="N29"/>
    </sheetView>
  </sheetViews>
  <sheetFormatPr defaultColWidth="8.75" defaultRowHeight="18" customHeight="1"/>
  <cols>
    <col min="1" max="3" width="2.375" style="5" customWidth="1"/>
    <col min="4" max="14" width="20.375" style="5" customWidth="1"/>
    <col min="15" max="15" width="8.375" style="5" customWidth="1"/>
    <col min="16" max="16" width="7.125" style="363" bestFit="1" customWidth="1"/>
    <col min="17" max="20" width="20.375" style="5" customWidth="1"/>
    <col min="21" max="16384" width="8.75" style="5"/>
  </cols>
  <sheetData>
    <row r="3" spans="4:19" ht="18" customHeight="1">
      <c r="Q3" s="363"/>
      <c r="R3" s="363"/>
      <c r="S3" s="363"/>
    </row>
    <row r="4" spans="4:19" s="26" customFormat="1" ht="18" customHeight="1" thickBot="1">
      <c r="F4" s="26" t="b">
        <f t="shared" ref="F4:N4" si="0">SUM(F6:F36)=0</f>
        <v>1</v>
      </c>
      <c r="G4" s="26" t="b">
        <f t="shared" si="0"/>
        <v>1</v>
      </c>
      <c r="H4" s="26" t="b">
        <f t="shared" si="0"/>
        <v>1</v>
      </c>
      <c r="I4" s="26" t="b">
        <f t="shared" si="0"/>
        <v>1</v>
      </c>
      <c r="J4" s="26" t="b">
        <f t="shared" si="0"/>
        <v>1</v>
      </c>
      <c r="K4" s="26" t="b">
        <f t="shared" si="0"/>
        <v>1</v>
      </c>
      <c r="L4" s="26" t="b">
        <f t="shared" si="0"/>
        <v>1</v>
      </c>
      <c r="M4" s="26" t="b">
        <f t="shared" si="0"/>
        <v>1</v>
      </c>
      <c r="N4" s="26" t="b">
        <f t="shared" si="0"/>
        <v>1</v>
      </c>
      <c r="P4" s="363"/>
      <c r="Q4" s="363"/>
      <c r="R4" s="363"/>
      <c r="S4" s="363"/>
    </row>
    <row r="5" spans="4:19" ht="18" customHeight="1">
      <c r="D5" s="391" t="s">
        <v>16</v>
      </c>
      <c r="E5" s="392" t="s">
        <v>19</v>
      </c>
      <c r="F5" s="392" t="s">
        <v>394</v>
      </c>
      <c r="G5" s="392" t="s">
        <v>395</v>
      </c>
      <c r="H5" s="392" t="s">
        <v>396</v>
      </c>
      <c r="I5" s="392" t="s">
        <v>397</v>
      </c>
      <c r="J5" s="393" t="s">
        <v>398</v>
      </c>
      <c r="K5" s="393" t="s">
        <v>1984</v>
      </c>
      <c r="L5" s="393" t="s">
        <v>2170</v>
      </c>
      <c r="M5" s="393" t="s">
        <v>2206</v>
      </c>
      <c r="N5" s="393" t="s">
        <v>2220</v>
      </c>
      <c r="Q5" s="363"/>
      <c r="R5" s="363"/>
      <c r="S5" s="363"/>
    </row>
    <row r="6" spans="4:19" ht="18" customHeight="1">
      <c r="D6" s="526" t="s">
        <v>392</v>
      </c>
      <c r="E6" s="527"/>
      <c r="F6" s="527"/>
      <c r="G6" s="527"/>
      <c r="H6" s="527"/>
      <c r="I6" s="527"/>
      <c r="J6" s="528"/>
      <c r="K6" s="528"/>
      <c r="L6" s="528"/>
      <c r="M6" s="528"/>
      <c r="N6" s="529"/>
      <c r="Q6" s="363"/>
      <c r="R6" s="363"/>
      <c r="S6" s="363"/>
    </row>
    <row r="7" spans="4:19" ht="18" customHeight="1">
      <c r="D7" s="394" t="s">
        <v>128</v>
      </c>
      <c r="E7" s="52" t="s">
        <v>129</v>
      </c>
      <c r="F7" s="52">
        <v>19842800</v>
      </c>
      <c r="G7" s="52">
        <f>F7</f>
        <v>19842800</v>
      </c>
      <c r="H7" s="52">
        <f>G7</f>
        <v>19842800</v>
      </c>
      <c r="I7" s="52">
        <f>H7</f>
        <v>19842800</v>
      </c>
      <c r="J7" s="396">
        <f>+I7</f>
        <v>19842800</v>
      </c>
      <c r="K7" s="396">
        <f>+J7</f>
        <v>19842800</v>
      </c>
      <c r="L7" s="396">
        <f>+K7</f>
        <v>19842800</v>
      </c>
      <c r="M7" s="396">
        <v>19842800</v>
      </c>
      <c r="N7" s="53">
        <f t="shared" ref="N7:N23" si="1">L7</f>
        <v>19842800</v>
      </c>
      <c r="Q7" s="363"/>
      <c r="R7" s="363"/>
      <c r="S7" s="363"/>
    </row>
    <row r="8" spans="4:19" ht="18" customHeight="1">
      <c r="D8" s="530" t="s">
        <v>1911</v>
      </c>
      <c r="E8" s="52" t="s">
        <v>193</v>
      </c>
      <c r="F8" s="52">
        <f>-F7</f>
        <v>-19842800</v>
      </c>
      <c r="G8" s="52">
        <f t="shared" ref="G8:L8" si="2">F8</f>
        <v>-19842800</v>
      </c>
      <c r="H8" s="52">
        <f t="shared" si="2"/>
        <v>-19842800</v>
      </c>
      <c r="I8" s="52">
        <f t="shared" si="2"/>
        <v>-19842800</v>
      </c>
      <c r="J8" s="396">
        <f t="shared" si="2"/>
        <v>-19842800</v>
      </c>
      <c r="K8" s="396">
        <f t="shared" si="2"/>
        <v>-19842800</v>
      </c>
      <c r="L8" s="396">
        <f t="shared" si="2"/>
        <v>-19842800</v>
      </c>
      <c r="M8" s="396">
        <v>-19842800</v>
      </c>
      <c r="N8" s="53">
        <f t="shared" si="1"/>
        <v>-19842800</v>
      </c>
      <c r="Q8" s="363"/>
      <c r="R8" s="363"/>
      <c r="S8" s="363"/>
    </row>
    <row r="9" spans="4:19" ht="18" customHeight="1">
      <c r="D9" s="526" t="s">
        <v>399</v>
      </c>
      <c r="E9" s="527"/>
      <c r="F9" s="527"/>
      <c r="G9" s="527"/>
      <c r="H9" s="527"/>
      <c r="I9" s="527"/>
      <c r="J9" s="528"/>
      <c r="K9" s="528"/>
      <c r="L9" s="528"/>
      <c r="M9" s="528">
        <v>0</v>
      </c>
      <c r="N9" s="529">
        <f t="shared" si="1"/>
        <v>0</v>
      </c>
      <c r="Q9" s="363"/>
      <c r="R9" s="363"/>
      <c r="S9" s="363"/>
    </row>
    <row r="10" spans="4:19" ht="18" customHeight="1">
      <c r="D10" s="530" t="s">
        <v>1911</v>
      </c>
      <c r="E10" s="52" t="s">
        <v>193</v>
      </c>
      <c r="F10" s="52">
        <v>368242282</v>
      </c>
      <c r="G10" s="52">
        <f t="shared" ref="G10:H13" si="3">F10</f>
        <v>368242282</v>
      </c>
      <c r="H10" s="52">
        <f t="shared" si="3"/>
        <v>368242282</v>
      </c>
      <c r="I10" s="52">
        <f t="shared" ref="I10:I23" si="4">H10</f>
        <v>368242282</v>
      </c>
      <c r="J10" s="396">
        <f>+I10</f>
        <v>368242282</v>
      </c>
      <c r="K10" s="396">
        <f t="shared" ref="K10:L13" si="5">H10</f>
        <v>368242282</v>
      </c>
      <c r="L10" s="396">
        <f t="shared" si="5"/>
        <v>368242282</v>
      </c>
      <c r="M10" s="396">
        <v>368242282</v>
      </c>
      <c r="N10" s="53">
        <f t="shared" si="1"/>
        <v>368242282</v>
      </c>
      <c r="Q10" s="363"/>
      <c r="R10" s="363"/>
      <c r="S10" s="363"/>
    </row>
    <row r="11" spans="4:19" ht="18" customHeight="1">
      <c r="D11" s="394" t="s">
        <v>1356</v>
      </c>
      <c r="E11" s="52" t="s">
        <v>207</v>
      </c>
      <c r="F11" s="52">
        <f>-F10</f>
        <v>-368242282</v>
      </c>
      <c r="G11" s="52">
        <f t="shared" si="3"/>
        <v>-368242282</v>
      </c>
      <c r="H11" s="52">
        <f t="shared" si="3"/>
        <v>-368242282</v>
      </c>
      <c r="I11" s="52">
        <f t="shared" si="4"/>
        <v>-368242282</v>
      </c>
      <c r="J11" s="396">
        <f>+I11</f>
        <v>-368242282</v>
      </c>
      <c r="K11" s="396">
        <f t="shared" si="5"/>
        <v>-368242282</v>
      </c>
      <c r="L11" s="396">
        <f t="shared" si="5"/>
        <v>-368242282</v>
      </c>
      <c r="M11" s="396">
        <v>-368242282</v>
      </c>
      <c r="N11" s="53">
        <f t="shared" si="1"/>
        <v>-368242282</v>
      </c>
      <c r="Q11" s="363"/>
      <c r="R11" s="363"/>
      <c r="S11" s="363"/>
    </row>
    <row r="12" spans="4:19" ht="18" customHeight="1">
      <c r="D12" s="530" t="s">
        <v>1911</v>
      </c>
      <c r="E12" s="52" t="s">
        <v>193</v>
      </c>
      <c r="F12" s="52">
        <v>622390102</v>
      </c>
      <c r="G12" s="52">
        <f t="shared" si="3"/>
        <v>622390102</v>
      </c>
      <c r="H12" s="52">
        <f t="shared" si="3"/>
        <v>622390102</v>
      </c>
      <c r="I12" s="52">
        <f t="shared" si="4"/>
        <v>622390102</v>
      </c>
      <c r="J12" s="396">
        <f>+I12</f>
        <v>622390102</v>
      </c>
      <c r="K12" s="396">
        <f t="shared" si="5"/>
        <v>622390102</v>
      </c>
      <c r="L12" s="396">
        <f t="shared" si="5"/>
        <v>622390102</v>
      </c>
      <c r="M12" s="396">
        <v>622390102</v>
      </c>
      <c r="N12" s="53">
        <f t="shared" si="1"/>
        <v>622390102</v>
      </c>
      <c r="Q12" s="363"/>
      <c r="R12" s="363"/>
      <c r="S12" s="363"/>
    </row>
    <row r="13" spans="4:19" ht="18" customHeight="1">
      <c r="D13" s="530" t="s">
        <v>1912</v>
      </c>
      <c r="E13" s="52" t="s">
        <v>205</v>
      </c>
      <c r="F13" s="52">
        <f>-F12</f>
        <v>-622390102</v>
      </c>
      <c r="G13" s="52">
        <f t="shared" si="3"/>
        <v>-622390102</v>
      </c>
      <c r="H13" s="52">
        <f t="shared" si="3"/>
        <v>-622390102</v>
      </c>
      <c r="I13" s="52">
        <f t="shared" si="4"/>
        <v>-622390102</v>
      </c>
      <c r="J13" s="396">
        <f>+I13</f>
        <v>-622390102</v>
      </c>
      <c r="K13" s="396">
        <f t="shared" si="5"/>
        <v>-622390102</v>
      </c>
      <c r="L13" s="396">
        <f t="shared" si="5"/>
        <v>-622390102</v>
      </c>
      <c r="M13" s="396">
        <v>-622390102</v>
      </c>
      <c r="N13" s="53">
        <f t="shared" si="1"/>
        <v>-622390102</v>
      </c>
      <c r="Q13" s="363"/>
      <c r="R13" s="363"/>
      <c r="S13" s="363"/>
    </row>
    <row r="14" spans="4:19" ht="18" customHeight="1">
      <c r="D14" s="531" t="s">
        <v>400</v>
      </c>
      <c r="E14" s="527"/>
      <c r="F14" s="527"/>
      <c r="G14" s="527"/>
      <c r="H14" s="527"/>
      <c r="I14" s="527"/>
      <c r="J14" s="528"/>
      <c r="K14" s="528"/>
      <c r="L14" s="528"/>
      <c r="M14" s="528">
        <v>0</v>
      </c>
      <c r="N14" s="529">
        <f t="shared" si="1"/>
        <v>0</v>
      </c>
      <c r="Q14" s="363"/>
      <c r="R14" s="363"/>
      <c r="S14" s="363"/>
    </row>
    <row r="15" spans="4:19" ht="18" customHeight="1">
      <c r="D15" s="530" t="s">
        <v>1911</v>
      </c>
      <c r="E15" s="52" t="s">
        <v>193</v>
      </c>
      <c r="F15" s="52">
        <v>-892464079</v>
      </c>
      <c r="G15" s="52">
        <f>F15</f>
        <v>-892464079</v>
      </c>
      <c r="H15" s="52">
        <f>G15</f>
        <v>-892464079</v>
      </c>
      <c r="I15" s="52">
        <f t="shared" si="4"/>
        <v>-892464079</v>
      </c>
      <c r="J15" s="396">
        <f>+I15</f>
        <v>-892464079</v>
      </c>
      <c r="K15" s="396">
        <f>H15</f>
        <v>-892464079</v>
      </c>
      <c r="L15" s="396">
        <f>I15</f>
        <v>-892464079</v>
      </c>
      <c r="M15" s="396">
        <v>-892464079</v>
      </c>
      <c r="N15" s="53">
        <f t="shared" si="1"/>
        <v>-892464079</v>
      </c>
      <c r="Q15" s="363"/>
      <c r="R15" s="363"/>
      <c r="S15" s="363"/>
    </row>
    <row r="16" spans="4:19" ht="18" customHeight="1">
      <c r="D16" s="394" t="s">
        <v>1356</v>
      </c>
      <c r="E16" s="52" t="s">
        <v>207</v>
      </c>
      <c r="F16" s="52">
        <f>-F15</f>
        <v>892464079</v>
      </c>
      <c r="G16" s="52">
        <f>F16</f>
        <v>892464079</v>
      </c>
      <c r="H16" s="52">
        <f>G16</f>
        <v>892464079</v>
      </c>
      <c r="I16" s="52">
        <f t="shared" si="4"/>
        <v>892464079</v>
      </c>
      <c r="J16" s="396">
        <f>+I16</f>
        <v>892464079</v>
      </c>
      <c r="K16" s="396">
        <f>H16</f>
        <v>892464079</v>
      </c>
      <c r="L16" s="396">
        <f>I16</f>
        <v>892464079</v>
      </c>
      <c r="M16" s="396">
        <v>892464079</v>
      </c>
      <c r="N16" s="53">
        <f t="shared" si="1"/>
        <v>892464079</v>
      </c>
      <c r="Q16" s="363"/>
      <c r="R16" s="363"/>
      <c r="S16" s="363"/>
    </row>
    <row r="17" spans="4:19" ht="18" customHeight="1">
      <c r="D17" s="531" t="s">
        <v>401</v>
      </c>
      <c r="E17" s="527"/>
      <c r="F17" s="527"/>
      <c r="G17" s="527"/>
      <c r="H17" s="527"/>
      <c r="I17" s="527"/>
      <c r="J17" s="528"/>
      <c r="K17" s="528"/>
      <c r="L17" s="528"/>
      <c r="M17" s="528">
        <v>0</v>
      </c>
      <c r="N17" s="529">
        <f t="shared" si="1"/>
        <v>0</v>
      </c>
      <c r="Q17" s="363"/>
      <c r="R17" s="363"/>
      <c r="S17" s="363"/>
    </row>
    <row r="18" spans="4:19" ht="18" customHeight="1">
      <c r="D18" s="530" t="s">
        <v>1911</v>
      </c>
      <c r="E18" s="52" t="s">
        <v>193</v>
      </c>
      <c r="F18" s="52">
        <v>10952617</v>
      </c>
      <c r="G18" s="52">
        <f t="shared" ref="G18:G23" si="6">F18</f>
        <v>10952617</v>
      </c>
      <c r="H18" s="52">
        <f t="shared" ref="H18:H23" si="7">G18</f>
        <v>10952617</v>
      </c>
      <c r="I18" s="52">
        <f t="shared" si="4"/>
        <v>10952617</v>
      </c>
      <c r="J18" s="396">
        <f t="shared" ref="J18:J23" si="8">+I18</f>
        <v>10952617</v>
      </c>
      <c r="K18" s="396">
        <f t="shared" ref="K18:L23" si="9">H18</f>
        <v>10952617</v>
      </c>
      <c r="L18" s="396">
        <f t="shared" si="9"/>
        <v>10952617</v>
      </c>
      <c r="M18" s="396">
        <v>10952617</v>
      </c>
      <c r="N18" s="53">
        <f t="shared" si="1"/>
        <v>10952617</v>
      </c>
      <c r="Q18" s="363"/>
      <c r="R18" s="363"/>
      <c r="S18" s="363"/>
    </row>
    <row r="19" spans="4:19" ht="18" customHeight="1">
      <c r="D19" s="530" t="s">
        <v>1913</v>
      </c>
      <c r="E19" s="52" t="s">
        <v>207</v>
      </c>
      <c r="F19" s="52">
        <v>-10952617</v>
      </c>
      <c r="G19" s="52">
        <f t="shared" si="6"/>
        <v>-10952617</v>
      </c>
      <c r="H19" s="52">
        <f t="shared" si="7"/>
        <v>-10952617</v>
      </c>
      <c r="I19" s="52">
        <f t="shared" si="4"/>
        <v>-10952617</v>
      </c>
      <c r="J19" s="396">
        <f t="shared" si="8"/>
        <v>-10952617</v>
      </c>
      <c r="K19" s="396">
        <f t="shared" si="9"/>
        <v>-10952617</v>
      </c>
      <c r="L19" s="396">
        <f t="shared" si="9"/>
        <v>-10952617</v>
      </c>
      <c r="M19" s="396">
        <v>-10952617</v>
      </c>
      <c r="N19" s="53">
        <f t="shared" si="1"/>
        <v>-10952617</v>
      </c>
      <c r="Q19" s="363"/>
      <c r="R19" s="363"/>
      <c r="S19" s="363"/>
    </row>
    <row r="20" spans="4:19" ht="18" customHeight="1">
      <c r="D20" s="530" t="s">
        <v>1911</v>
      </c>
      <c r="E20" s="52" t="s">
        <v>193</v>
      </c>
      <c r="F20" s="52">
        <v>-349388</v>
      </c>
      <c r="G20" s="52">
        <f t="shared" si="6"/>
        <v>-349388</v>
      </c>
      <c r="H20" s="52">
        <f t="shared" si="7"/>
        <v>-349388</v>
      </c>
      <c r="I20" s="52">
        <f t="shared" si="4"/>
        <v>-349388</v>
      </c>
      <c r="J20" s="396">
        <f t="shared" si="8"/>
        <v>-349388</v>
      </c>
      <c r="K20" s="396">
        <f t="shared" si="9"/>
        <v>-349388</v>
      </c>
      <c r="L20" s="396">
        <f t="shared" si="9"/>
        <v>-349388</v>
      </c>
      <c r="M20" s="396">
        <v>-349388</v>
      </c>
      <c r="N20" s="53">
        <f t="shared" si="1"/>
        <v>-349388</v>
      </c>
      <c r="Q20" s="363"/>
      <c r="R20" s="363"/>
      <c r="S20" s="363"/>
    </row>
    <row r="21" spans="4:19" ht="18" customHeight="1">
      <c r="D21" s="394" t="s">
        <v>1356</v>
      </c>
      <c r="E21" s="52" t="s">
        <v>207</v>
      </c>
      <c r="F21" s="52">
        <v>349388</v>
      </c>
      <c r="G21" s="52">
        <f t="shared" si="6"/>
        <v>349388</v>
      </c>
      <c r="H21" s="52">
        <f t="shared" si="7"/>
        <v>349388</v>
      </c>
      <c r="I21" s="52">
        <f t="shared" si="4"/>
        <v>349388</v>
      </c>
      <c r="J21" s="396">
        <f t="shared" si="8"/>
        <v>349388</v>
      </c>
      <c r="K21" s="396">
        <f t="shared" si="9"/>
        <v>349388</v>
      </c>
      <c r="L21" s="396">
        <f t="shared" si="9"/>
        <v>349388</v>
      </c>
      <c r="M21" s="396">
        <v>349388</v>
      </c>
      <c r="N21" s="53">
        <f t="shared" si="1"/>
        <v>349388</v>
      </c>
      <c r="Q21" s="363"/>
      <c r="R21" s="363"/>
      <c r="S21" s="363"/>
    </row>
    <row r="22" spans="4:19" ht="18" customHeight="1">
      <c r="D22" s="530" t="s">
        <v>1911</v>
      </c>
      <c r="E22" s="52" t="s">
        <v>193</v>
      </c>
      <c r="F22" s="52">
        <v>29855787</v>
      </c>
      <c r="G22" s="52">
        <f t="shared" si="6"/>
        <v>29855787</v>
      </c>
      <c r="H22" s="52">
        <f t="shared" si="7"/>
        <v>29855787</v>
      </c>
      <c r="I22" s="52">
        <f t="shared" si="4"/>
        <v>29855787</v>
      </c>
      <c r="J22" s="396">
        <f t="shared" si="8"/>
        <v>29855787</v>
      </c>
      <c r="K22" s="396">
        <f t="shared" si="9"/>
        <v>29855787</v>
      </c>
      <c r="L22" s="396">
        <f t="shared" si="9"/>
        <v>29855787</v>
      </c>
      <c r="M22" s="396">
        <v>29855787</v>
      </c>
      <c r="N22" s="53">
        <f t="shared" si="1"/>
        <v>29855787</v>
      </c>
      <c r="Q22" s="363"/>
      <c r="R22" s="363"/>
      <c r="S22" s="363"/>
    </row>
    <row r="23" spans="4:19" ht="18" customHeight="1">
      <c r="D23" s="394" t="s">
        <v>1356</v>
      </c>
      <c r="E23" s="52" t="s">
        <v>207</v>
      </c>
      <c r="F23" s="52">
        <v>-29855787</v>
      </c>
      <c r="G23" s="52">
        <f t="shared" si="6"/>
        <v>-29855787</v>
      </c>
      <c r="H23" s="52">
        <f t="shared" si="7"/>
        <v>-29855787</v>
      </c>
      <c r="I23" s="52">
        <f t="shared" si="4"/>
        <v>-29855787</v>
      </c>
      <c r="J23" s="396">
        <f t="shared" si="8"/>
        <v>-29855787</v>
      </c>
      <c r="K23" s="396">
        <f t="shared" si="9"/>
        <v>-29855787</v>
      </c>
      <c r="L23" s="396">
        <f t="shared" si="9"/>
        <v>-29855787</v>
      </c>
      <c r="M23" s="396">
        <v>-29855787</v>
      </c>
      <c r="N23" s="53">
        <f t="shared" si="1"/>
        <v>-29855787</v>
      </c>
      <c r="Q23" s="363"/>
      <c r="R23" s="363"/>
      <c r="S23" s="363"/>
    </row>
    <row r="24" spans="4:19" s="4" customFormat="1" ht="18" customHeight="1">
      <c r="D24" s="531" t="s">
        <v>555</v>
      </c>
      <c r="E24" s="532"/>
      <c r="F24" s="532"/>
      <c r="G24" s="532"/>
      <c r="H24" s="532"/>
      <c r="I24" s="532"/>
      <c r="J24" s="533"/>
      <c r="K24" s="533"/>
      <c r="L24" s="533"/>
      <c r="M24" s="533"/>
      <c r="N24" s="534"/>
      <c r="P24" s="363"/>
      <c r="Q24" s="363"/>
      <c r="R24" s="363"/>
      <c r="S24" s="363"/>
    </row>
    <row r="25" spans="4:19" ht="18" customHeight="1">
      <c r="D25" s="394" t="s">
        <v>378</v>
      </c>
      <c r="E25" s="52" t="s">
        <v>377</v>
      </c>
      <c r="F25" s="52">
        <v>-5278089200</v>
      </c>
      <c r="G25" s="52">
        <v>0</v>
      </c>
      <c r="H25" s="52">
        <v>0</v>
      </c>
      <c r="I25" s="52">
        <v>0</v>
      </c>
      <c r="J25" s="396">
        <v>-25472597960</v>
      </c>
      <c r="K25" s="396">
        <v>0</v>
      </c>
      <c r="L25" s="396"/>
      <c r="M25" s="396"/>
      <c r="N25" s="53">
        <v>-2042283617</v>
      </c>
      <c r="Q25" s="363"/>
      <c r="R25" s="363"/>
      <c r="S25" s="363"/>
    </row>
    <row r="26" spans="4:19" ht="18" customHeight="1">
      <c r="D26" s="394" t="s">
        <v>1356</v>
      </c>
      <c r="E26" s="52" t="s">
        <v>207</v>
      </c>
      <c r="F26" s="52">
        <f>-F25</f>
        <v>5278089200</v>
      </c>
      <c r="G26" s="52">
        <v>0</v>
      </c>
      <c r="H26" s="52">
        <v>0</v>
      </c>
      <c r="I26" s="52">
        <v>0</v>
      </c>
      <c r="J26" s="396">
        <v>25472597960</v>
      </c>
      <c r="K26" s="396">
        <v>0</v>
      </c>
      <c r="L26" s="396"/>
      <c r="M26" s="396"/>
      <c r="N26" s="53">
        <f>-N25</f>
        <v>2042283617</v>
      </c>
      <c r="Q26" s="363"/>
      <c r="R26" s="363"/>
      <c r="S26" s="363"/>
    </row>
    <row r="27" spans="4:19" ht="18" customHeight="1">
      <c r="D27" s="394" t="s">
        <v>1357</v>
      </c>
      <c r="E27" s="52" t="s">
        <v>209</v>
      </c>
      <c r="F27" s="52">
        <f>F25</f>
        <v>-5278089200</v>
      </c>
      <c r="G27" s="52">
        <v>0</v>
      </c>
      <c r="H27" s="52">
        <v>0</v>
      </c>
      <c r="I27" s="52">
        <v>0</v>
      </c>
      <c r="J27" s="396">
        <v>-25472597960</v>
      </c>
      <c r="K27" s="396">
        <v>0</v>
      </c>
      <c r="L27" s="396"/>
      <c r="M27" s="396"/>
      <c r="N27" s="53">
        <f>-N26</f>
        <v>-2042283617</v>
      </c>
      <c r="Q27" s="363"/>
      <c r="R27" s="363"/>
      <c r="S27" s="363"/>
    </row>
    <row r="28" spans="4:19" ht="18" customHeight="1">
      <c r="D28" s="394"/>
      <c r="E28" s="52" t="s">
        <v>422</v>
      </c>
      <c r="F28" s="52">
        <f>-F27</f>
        <v>5278089200</v>
      </c>
      <c r="G28" s="52">
        <v>0</v>
      </c>
      <c r="H28" s="52">
        <v>0</v>
      </c>
      <c r="I28" s="52">
        <v>0</v>
      </c>
      <c r="J28" s="396">
        <v>25472597960</v>
      </c>
      <c r="K28" s="396">
        <v>0</v>
      </c>
      <c r="L28" s="396"/>
      <c r="M28" s="396"/>
      <c r="N28" s="53">
        <f>-N27</f>
        <v>2042283617</v>
      </c>
      <c r="Q28" s="363"/>
      <c r="R28" s="363"/>
      <c r="S28" s="363"/>
    </row>
    <row r="29" spans="4:19" ht="18" customHeight="1">
      <c r="D29" s="54"/>
      <c r="E29" s="52"/>
      <c r="F29" s="52"/>
      <c r="G29" s="52"/>
      <c r="H29" s="52"/>
      <c r="I29" s="52"/>
      <c r="J29" s="396"/>
      <c r="K29" s="396"/>
      <c r="L29" s="396"/>
      <c r="M29" s="396"/>
      <c r="N29" s="53"/>
      <c r="Q29" s="363"/>
      <c r="R29" s="363"/>
      <c r="S29" s="363"/>
    </row>
    <row r="30" spans="4:19" ht="18" customHeight="1">
      <c r="D30" s="54"/>
      <c r="E30" s="52"/>
      <c r="F30" s="52"/>
      <c r="G30" s="52"/>
      <c r="H30" s="52"/>
      <c r="I30" s="52"/>
      <c r="J30" s="396"/>
      <c r="K30" s="396"/>
      <c r="L30" s="396"/>
      <c r="M30" s="396"/>
      <c r="N30" s="53"/>
      <c r="Q30" s="363"/>
      <c r="R30" s="363"/>
      <c r="S30" s="363"/>
    </row>
    <row r="31" spans="4:19" ht="18" customHeight="1">
      <c r="D31" s="54"/>
      <c r="E31" s="52"/>
      <c r="F31" s="52"/>
      <c r="G31" s="52"/>
      <c r="H31" s="52"/>
      <c r="I31" s="52"/>
      <c r="J31" s="396"/>
      <c r="K31" s="396"/>
      <c r="L31" s="396"/>
      <c r="M31" s="396"/>
      <c r="N31" s="53"/>
      <c r="Q31" s="363"/>
      <c r="R31" s="363"/>
      <c r="S31" s="363"/>
    </row>
    <row r="32" spans="4:19" ht="18" customHeight="1">
      <c r="D32" s="54"/>
      <c r="E32" s="52"/>
      <c r="F32" s="52"/>
      <c r="G32" s="52"/>
      <c r="H32" s="52"/>
      <c r="I32" s="52"/>
      <c r="J32" s="396"/>
      <c r="K32" s="396"/>
      <c r="L32" s="396"/>
      <c r="M32" s="396"/>
      <c r="N32" s="53"/>
      <c r="Q32" s="363"/>
      <c r="R32" s="363"/>
      <c r="S32" s="363"/>
    </row>
    <row r="33" spans="4:19" ht="18" customHeight="1">
      <c r="D33" s="54"/>
      <c r="E33" s="52"/>
      <c r="F33" s="52"/>
      <c r="G33" s="52"/>
      <c r="H33" s="52"/>
      <c r="I33" s="52"/>
      <c r="J33" s="396"/>
      <c r="K33" s="396"/>
      <c r="L33" s="396"/>
      <c r="M33" s="396"/>
      <c r="N33" s="53"/>
      <c r="Q33" s="363"/>
      <c r="R33" s="363"/>
      <c r="S33" s="363"/>
    </row>
    <row r="34" spans="4:19" ht="18" customHeight="1">
      <c r="D34" s="54"/>
      <c r="E34" s="52"/>
      <c r="F34" s="52"/>
      <c r="G34" s="52"/>
      <c r="H34" s="52"/>
      <c r="I34" s="52"/>
      <c r="J34" s="396"/>
      <c r="K34" s="396"/>
      <c r="L34" s="396"/>
      <c r="M34" s="396"/>
      <c r="N34" s="53"/>
      <c r="Q34" s="363"/>
      <c r="R34" s="363"/>
      <c r="S34" s="363"/>
    </row>
    <row r="35" spans="4:19" ht="18" customHeight="1">
      <c r="D35" s="54"/>
      <c r="E35" s="52"/>
      <c r="F35" s="52"/>
      <c r="G35" s="52"/>
      <c r="H35" s="52"/>
      <c r="I35" s="52"/>
      <c r="J35" s="396"/>
      <c r="K35" s="396"/>
      <c r="L35" s="396"/>
      <c r="M35" s="396"/>
      <c r="N35" s="53"/>
      <c r="Q35" s="363"/>
      <c r="R35" s="363"/>
      <c r="S35" s="363"/>
    </row>
    <row r="36" spans="4:19" ht="18" customHeight="1">
      <c r="D36" s="54"/>
      <c r="E36" s="52"/>
      <c r="F36" s="52"/>
      <c r="G36" s="52"/>
      <c r="H36" s="52"/>
      <c r="I36" s="52"/>
      <c r="J36" s="396"/>
      <c r="K36" s="396"/>
      <c r="L36" s="396"/>
      <c r="M36" s="396"/>
      <c r="N36" s="53"/>
      <c r="Q36" s="363"/>
      <c r="R36" s="363"/>
      <c r="S36" s="363"/>
    </row>
    <row r="37" spans="4:19" ht="18" customHeight="1">
      <c r="D37" s="54"/>
      <c r="E37" s="52"/>
      <c r="F37" s="52"/>
      <c r="G37" s="52"/>
      <c r="H37" s="52"/>
      <c r="I37" s="52"/>
      <c r="J37" s="396"/>
      <c r="K37" s="396"/>
      <c r="L37" s="396"/>
      <c r="M37" s="396"/>
      <c r="N37" s="53"/>
      <c r="Q37" s="363"/>
      <c r="R37" s="363"/>
      <c r="S37" s="363"/>
    </row>
    <row r="38" spans="4:19" ht="18" customHeight="1">
      <c r="D38" s="54"/>
      <c r="E38" s="52"/>
      <c r="F38" s="52"/>
      <c r="G38" s="52"/>
      <c r="H38" s="52"/>
      <c r="I38" s="52"/>
      <c r="J38" s="396"/>
      <c r="K38" s="396"/>
      <c r="L38" s="396"/>
      <c r="M38" s="396"/>
      <c r="N38" s="53"/>
      <c r="Q38" s="363"/>
      <c r="R38" s="363"/>
      <c r="S38" s="363"/>
    </row>
    <row r="39" spans="4:19" ht="18" customHeight="1">
      <c r="D39" s="54"/>
      <c r="E39" s="52"/>
      <c r="F39" s="52"/>
      <c r="G39" s="52"/>
      <c r="H39" s="52"/>
      <c r="I39" s="52"/>
      <c r="J39" s="396"/>
      <c r="K39" s="396"/>
      <c r="L39" s="396"/>
      <c r="M39" s="396"/>
      <c r="N39" s="53"/>
      <c r="Q39" s="363"/>
      <c r="R39" s="363"/>
      <c r="S39" s="363"/>
    </row>
    <row r="40" spans="4:19" ht="18" customHeight="1">
      <c r="D40" s="54"/>
      <c r="E40" s="52"/>
      <c r="F40" s="52"/>
      <c r="G40" s="52"/>
      <c r="H40" s="52"/>
      <c r="I40" s="52"/>
      <c r="J40" s="396"/>
      <c r="K40" s="396"/>
      <c r="L40" s="396"/>
      <c r="M40" s="396"/>
      <c r="N40" s="53"/>
      <c r="Q40" s="363"/>
      <c r="R40" s="363"/>
      <c r="S40" s="363"/>
    </row>
    <row r="41" spans="4:19" ht="18" customHeight="1">
      <c r="D41" s="54"/>
      <c r="E41" s="52"/>
      <c r="F41" s="52"/>
      <c r="G41" s="52"/>
      <c r="H41" s="52"/>
      <c r="I41" s="52"/>
      <c r="J41" s="396"/>
      <c r="K41" s="396"/>
      <c r="L41" s="396"/>
      <c r="M41" s="396"/>
      <c r="N41" s="53"/>
      <c r="Q41" s="363"/>
      <c r="R41" s="363"/>
      <c r="S41" s="363"/>
    </row>
    <row r="42" spans="4:19" ht="18" customHeight="1">
      <c r="D42" s="54"/>
      <c r="E42" s="52"/>
      <c r="F42" s="52"/>
      <c r="G42" s="52"/>
      <c r="H42" s="52"/>
      <c r="I42" s="52"/>
      <c r="J42" s="396"/>
      <c r="K42" s="396"/>
      <c r="L42" s="396"/>
      <c r="M42" s="396"/>
      <c r="N42" s="53"/>
      <c r="Q42" s="363"/>
      <c r="R42" s="363"/>
      <c r="S42" s="363"/>
    </row>
    <row r="43" spans="4:19" ht="18" customHeight="1">
      <c r="D43" s="54"/>
      <c r="E43" s="52"/>
      <c r="F43" s="52"/>
      <c r="G43" s="52"/>
      <c r="H43" s="52"/>
      <c r="I43" s="52"/>
      <c r="J43" s="396"/>
      <c r="K43" s="396"/>
      <c r="L43" s="396"/>
      <c r="M43" s="396"/>
      <c r="N43" s="53"/>
      <c r="Q43" s="363"/>
      <c r="R43" s="363"/>
      <c r="S43" s="363"/>
    </row>
    <row r="44" spans="4:19" ht="18" customHeight="1">
      <c r="D44" s="54"/>
      <c r="E44" s="52"/>
      <c r="F44" s="52"/>
      <c r="G44" s="52"/>
      <c r="H44" s="52"/>
      <c r="I44" s="52"/>
      <c r="J44" s="396"/>
      <c r="K44" s="396"/>
      <c r="L44" s="396"/>
      <c r="M44" s="396"/>
      <c r="N44" s="53"/>
      <c r="Q44" s="363"/>
      <c r="R44" s="363"/>
      <c r="S44" s="363"/>
    </row>
    <row r="45" spans="4:19" ht="18" customHeight="1">
      <c r="D45" s="54"/>
      <c r="E45" s="52"/>
      <c r="F45" s="52"/>
      <c r="G45" s="52"/>
      <c r="H45" s="52"/>
      <c r="I45" s="52"/>
      <c r="J45" s="396"/>
      <c r="K45" s="396"/>
      <c r="L45" s="396"/>
      <c r="M45" s="396"/>
      <c r="N45" s="53"/>
      <c r="Q45" s="363"/>
      <c r="R45" s="363"/>
      <c r="S45" s="363"/>
    </row>
    <row r="46" spans="4:19" ht="18" customHeight="1">
      <c r="D46" s="54"/>
      <c r="E46" s="52"/>
      <c r="F46" s="52"/>
      <c r="G46" s="52"/>
      <c r="H46" s="52"/>
      <c r="I46" s="52"/>
      <c r="J46" s="396"/>
      <c r="K46" s="396"/>
      <c r="L46" s="396"/>
      <c r="M46" s="396"/>
      <c r="N46" s="53"/>
      <c r="Q46" s="363"/>
      <c r="R46" s="363"/>
      <c r="S46" s="363"/>
    </row>
    <row r="47" spans="4:19" ht="18" customHeight="1">
      <c r="D47" s="54"/>
      <c r="E47" s="52"/>
      <c r="F47" s="52"/>
      <c r="G47" s="52"/>
      <c r="H47" s="52"/>
      <c r="I47" s="52"/>
      <c r="J47" s="396"/>
      <c r="K47" s="396"/>
      <c r="L47" s="396"/>
      <c r="M47" s="396"/>
      <c r="N47" s="53"/>
      <c r="Q47" s="363"/>
      <c r="R47" s="363"/>
      <c r="S47" s="363"/>
    </row>
    <row r="48" spans="4:19" ht="18" customHeight="1">
      <c r="D48" s="54"/>
      <c r="E48" s="52"/>
      <c r="F48" s="52"/>
      <c r="G48" s="52"/>
      <c r="H48" s="52"/>
      <c r="I48" s="52"/>
      <c r="J48" s="396"/>
      <c r="K48" s="396"/>
      <c r="L48" s="396"/>
      <c r="M48" s="396"/>
      <c r="N48" s="53"/>
      <c r="Q48" s="363"/>
      <c r="R48" s="363"/>
      <c r="S48" s="363"/>
    </row>
    <row r="49" spans="4:19" ht="18" customHeight="1" thickBot="1">
      <c r="D49" s="409"/>
      <c r="E49" s="55"/>
      <c r="F49" s="55"/>
      <c r="G49" s="55"/>
      <c r="H49" s="55"/>
      <c r="I49" s="55"/>
      <c r="J49" s="398"/>
      <c r="K49" s="398"/>
      <c r="L49" s="398"/>
      <c r="M49" s="398"/>
      <c r="N49" s="399"/>
      <c r="Q49" s="363"/>
      <c r="R49" s="363"/>
      <c r="S49" s="363"/>
    </row>
    <row r="50" spans="4:19" ht="18" customHeight="1">
      <c r="Q50" s="363"/>
      <c r="R50" s="363"/>
      <c r="S50" s="363"/>
    </row>
    <row r="51" spans="4:19" ht="18" customHeight="1">
      <c r="Q51" s="363"/>
      <c r="R51" s="363"/>
      <c r="S51" s="363"/>
    </row>
    <row r="52" spans="4:19" ht="18" customHeight="1">
      <c r="Q52" s="363"/>
      <c r="R52" s="363"/>
      <c r="S52" s="363"/>
    </row>
    <row r="53" spans="4:19" ht="18" customHeight="1">
      <c r="Q53" s="363"/>
      <c r="R53" s="363"/>
      <c r="S53" s="363"/>
    </row>
    <row r="54" spans="4:19" ht="18" customHeight="1">
      <c r="Q54" s="363"/>
      <c r="R54" s="363"/>
      <c r="S54" s="363"/>
    </row>
  </sheetData>
  <autoFilter ref="D5:N49" xr:uid="{00000000-0009-0000-0000-000010000000}"/>
  <phoneticPr fontId="2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223055"/>
  </sheetPr>
  <dimension ref="D4:S54"/>
  <sheetViews>
    <sheetView showGridLines="0" zoomScale="80" zoomScaleNormal="80" workbookViewId="0">
      <pane xSplit="5" ySplit="5" topLeftCell="F6" activePane="bottomRight" state="frozen"/>
      <selection activeCell="J13" sqref="J13"/>
      <selection pane="topRight" activeCell="J13" sqref="J13"/>
      <selection pane="bottomLeft" activeCell="J13" sqref="J13"/>
      <selection pane="bottomRight" activeCell="L7" sqref="L7"/>
    </sheetView>
  </sheetViews>
  <sheetFormatPr defaultColWidth="8.75" defaultRowHeight="11.25"/>
  <cols>
    <col min="1" max="3" width="2.375" style="5" customWidth="1"/>
    <col min="4" max="4" width="21.375" style="5" bestFit="1" customWidth="1"/>
    <col min="5" max="5" width="39.125" style="363" customWidth="1"/>
    <col min="6" max="14" width="20.375" style="5" customWidth="1"/>
    <col min="15" max="15" width="4.125" style="5" customWidth="1"/>
    <col min="16" max="20" width="20.375" style="5" customWidth="1"/>
    <col min="21" max="16384" width="8.75" style="5"/>
  </cols>
  <sheetData>
    <row r="4" spans="4:19" s="4" customFormat="1" ht="18" customHeight="1" thickBot="1">
      <c r="E4" s="376"/>
      <c r="F4" s="4" t="b">
        <f t="shared" ref="F4:N4" si="0">SUM(F7:F41)=0</f>
        <v>1</v>
      </c>
      <c r="G4" s="4" t="b">
        <f t="shared" si="0"/>
        <v>1</v>
      </c>
      <c r="H4" s="4" t="b">
        <f t="shared" si="0"/>
        <v>1</v>
      </c>
      <c r="I4" s="4" t="b">
        <f t="shared" si="0"/>
        <v>1</v>
      </c>
      <c r="J4" s="4" t="b">
        <f t="shared" si="0"/>
        <v>1</v>
      </c>
      <c r="K4" s="4" t="b">
        <f>SUM(K7:K41)=0</f>
        <v>1</v>
      </c>
      <c r="L4" s="4" t="b">
        <f>SUM(L7:L41)=0</f>
        <v>1</v>
      </c>
      <c r="M4" s="4" t="b">
        <f>SUM(M7:M41)=0</f>
        <v>1</v>
      </c>
      <c r="N4" s="4" t="b">
        <f t="shared" si="0"/>
        <v>1</v>
      </c>
      <c r="P4" s="5"/>
      <c r="Q4" s="5"/>
      <c r="R4" s="5"/>
      <c r="S4" s="5"/>
    </row>
    <row r="5" spans="4:19" ht="18" customHeight="1">
      <c r="D5" s="391" t="s">
        <v>16</v>
      </c>
      <c r="E5" s="392" t="s">
        <v>19</v>
      </c>
      <c r="F5" s="392" t="s">
        <v>394</v>
      </c>
      <c r="G5" s="392" t="s">
        <v>395</v>
      </c>
      <c r="H5" s="392" t="s">
        <v>396</v>
      </c>
      <c r="I5" s="392" t="s">
        <v>397</v>
      </c>
      <c r="J5" s="516" t="s">
        <v>398</v>
      </c>
      <c r="K5" s="516" t="s">
        <v>1984</v>
      </c>
      <c r="L5" s="516" t="s">
        <v>2171</v>
      </c>
      <c r="M5" s="516" t="s">
        <v>2206</v>
      </c>
      <c r="N5" s="393" t="str">
        <f>+'1.0'!N5</f>
        <v>2020 4Q</v>
      </c>
    </row>
    <row r="6" spans="4:19" s="522" customFormat="1" ht="18" customHeight="1">
      <c r="D6" s="517" t="s">
        <v>1388</v>
      </c>
      <c r="E6" s="518"/>
      <c r="F6" s="519"/>
      <c r="G6" s="519"/>
      <c r="H6" s="519"/>
      <c r="I6" s="519"/>
      <c r="J6" s="520"/>
      <c r="K6" s="520"/>
      <c r="L6" s="520"/>
      <c r="M6" s="520"/>
      <c r="N6" s="521"/>
      <c r="P6" s="5"/>
      <c r="Q6" s="5"/>
      <c r="R6" s="5"/>
      <c r="S6" s="5"/>
    </row>
    <row r="7" spans="4:19" ht="18" customHeight="1">
      <c r="D7" s="394" t="s">
        <v>1356</v>
      </c>
      <c r="E7" s="395" t="s">
        <v>207</v>
      </c>
      <c r="F7" s="52">
        <v>-270380191</v>
      </c>
      <c r="G7" s="52"/>
      <c r="H7" s="52"/>
      <c r="I7" s="52"/>
      <c r="J7" s="396"/>
      <c r="K7" s="396"/>
      <c r="L7" s="396"/>
      <c r="M7" s="396"/>
      <c r="N7" s="53"/>
    </row>
    <row r="8" spans="4:19" ht="18" customHeight="1">
      <c r="D8" s="394" t="s">
        <v>1357</v>
      </c>
      <c r="E8" s="395" t="s">
        <v>209</v>
      </c>
      <c r="F8" s="52">
        <v>270380191</v>
      </c>
      <c r="G8" s="52"/>
      <c r="H8" s="52"/>
      <c r="I8" s="52"/>
      <c r="J8" s="396"/>
      <c r="K8" s="396"/>
      <c r="L8" s="396"/>
      <c r="M8" s="396"/>
      <c r="N8" s="53"/>
    </row>
    <row r="9" spans="4:19" s="522" customFormat="1" ht="18" customHeight="1">
      <c r="D9" s="517" t="s">
        <v>216</v>
      </c>
      <c r="E9" s="518"/>
      <c r="F9" s="519"/>
      <c r="G9" s="519"/>
      <c r="H9" s="519"/>
      <c r="I9" s="519"/>
      <c r="J9" s="520"/>
      <c r="K9" s="520"/>
      <c r="L9" s="520"/>
      <c r="M9" s="520"/>
      <c r="N9" s="521"/>
      <c r="P9" s="5"/>
      <c r="Q9" s="5"/>
      <c r="R9" s="5"/>
      <c r="S9" s="5"/>
    </row>
    <row r="10" spans="4:19" ht="18" customHeight="1">
      <c r="D10" s="394" t="s">
        <v>1356</v>
      </c>
      <c r="E10" s="395" t="s">
        <v>207</v>
      </c>
      <c r="F10" s="52"/>
      <c r="G10" s="52"/>
      <c r="H10" s="52">
        <v>-4508613933</v>
      </c>
      <c r="I10" s="52"/>
      <c r="J10" s="396"/>
      <c r="K10" s="396"/>
      <c r="L10" s="396"/>
      <c r="M10" s="396"/>
      <c r="N10" s="53"/>
    </row>
    <row r="11" spans="4:19" ht="18" customHeight="1">
      <c r="D11" s="394" t="s">
        <v>1357</v>
      </c>
      <c r="E11" s="395" t="s">
        <v>209</v>
      </c>
      <c r="F11" s="52"/>
      <c r="G11" s="52"/>
      <c r="H11" s="52">
        <v>4508613933</v>
      </c>
      <c r="I11" s="52"/>
      <c r="J11" s="396"/>
      <c r="K11" s="396"/>
      <c r="L11" s="396"/>
      <c r="M11" s="396"/>
      <c r="N11" s="53"/>
    </row>
    <row r="12" spans="4:19" s="522" customFormat="1" ht="18" customHeight="1">
      <c r="D12" s="517" t="s">
        <v>1807</v>
      </c>
      <c r="E12" s="518"/>
      <c r="F12" s="519"/>
      <c r="G12" s="519"/>
      <c r="H12" s="519"/>
      <c r="I12" s="519"/>
      <c r="J12" s="520"/>
      <c r="K12" s="520"/>
      <c r="L12" s="520"/>
      <c r="M12" s="520"/>
      <c r="N12" s="521"/>
      <c r="P12" s="5"/>
      <c r="Q12" s="5"/>
      <c r="R12" s="5"/>
      <c r="S12" s="5"/>
    </row>
    <row r="13" spans="4:19" ht="18" customHeight="1">
      <c r="D13" s="394" t="s">
        <v>1356</v>
      </c>
      <c r="E13" s="395" t="s">
        <v>402</v>
      </c>
      <c r="F13" s="52"/>
      <c r="G13" s="52"/>
      <c r="H13" s="52"/>
      <c r="I13" s="52">
        <v>-2590571062</v>
      </c>
      <c r="J13" s="396">
        <v>-2590571062</v>
      </c>
      <c r="K13" s="396"/>
      <c r="L13" s="396"/>
      <c r="M13" s="396"/>
      <c r="N13" s="53"/>
    </row>
    <row r="14" spans="4:19" ht="18" customHeight="1">
      <c r="D14" s="394" t="s">
        <v>373</v>
      </c>
      <c r="E14" s="395" t="s">
        <v>1520</v>
      </c>
      <c r="F14" s="52"/>
      <c r="G14" s="52"/>
      <c r="H14" s="52"/>
      <c r="I14" s="52">
        <v>2590571062</v>
      </c>
      <c r="J14" s="396">
        <v>2590571062</v>
      </c>
      <c r="K14" s="396"/>
      <c r="L14" s="396"/>
      <c r="M14" s="396"/>
      <c r="N14" s="53"/>
    </row>
    <row r="15" spans="4:19" ht="18" customHeight="1">
      <c r="D15" s="394" t="s">
        <v>301</v>
      </c>
      <c r="E15" s="395" t="s">
        <v>302</v>
      </c>
      <c r="F15" s="52"/>
      <c r="G15" s="52"/>
      <c r="H15" s="52"/>
      <c r="I15" s="52">
        <v>-1601971643</v>
      </c>
      <c r="J15" s="396">
        <v>-920006498</v>
      </c>
      <c r="K15" s="396"/>
      <c r="L15" s="396"/>
      <c r="M15" s="396"/>
      <c r="N15" s="53"/>
    </row>
    <row r="16" spans="4:19" ht="18" customHeight="1">
      <c r="D16" s="394" t="s">
        <v>373</v>
      </c>
      <c r="E16" s="395" t="s">
        <v>1520</v>
      </c>
      <c r="F16" s="52"/>
      <c r="G16" s="52"/>
      <c r="H16" s="52"/>
      <c r="I16" s="52">
        <v>1601971643</v>
      </c>
      <c r="J16" s="396">
        <v>920006498</v>
      </c>
      <c r="K16" s="396"/>
      <c r="L16" s="396"/>
      <c r="M16" s="396"/>
      <c r="N16" s="53"/>
    </row>
    <row r="17" spans="4:19" ht="18" customHeight="1">
      <c r="D17" s="394" t="s">
        <v>1816</v>
      </c>
      <c r="E17" s="395" t="s">
        <v>856</v>
      </c>
      <c r="F17" s="52"/>
      <c r="G17" s="52"/>
      <c r="H17" s="52"/>
      <c r="I17" s="52">
        <v>3510577560</v>
      </c>
      <c r="J17" s="396">
        <v>3510577560</v>
      </c>
      <c r="K17" s="396"/>
      <c r="L17" s="396"/>
      <c r="M17" s="396"/>
      <c r="N17" s="53"/>
    </row>
    <row r="18" spans="4:19" ht="18" customHeight="1">
      <c r="D18" s="394" t="s">
        <v>373</v>
      </c>
      <c r="E18" s="395" t="s">
        <v>1520</v>
      </c>
      <c r="F18" s="52"/>
      <c r="G18" s="52"/>
      <c r="H18" s="52"/>
      <c r="I18" s="52">
        <v>-3510577560</v>
      </c>
      <c r="J18" s="396">
        <v>-3510577560</v>
      </c>
      <c r="K18" s="396"/>
      <c r="L18" s="396"/>
      <c r="M18" s="396"/>
      <c r="N18" s="53"/>
    </row>
    <row r="19" spans="4:19" ht="18" customHeight="1">
      <c r="D19" s="394" t="s">
        <v>301</v>
      </c>
      <c r="E19" s="395" t="s">
        <v>302</v>
      </c>
      <c r="F19" s="52"/>
      <c r="G19" s="52"/>
      <c r="H19" s="52"/>
      <c r="I19" s="52">
        <v>681965145</v>
      </c>
      <c r="J19" s="396">
        <v>0</v>
      </c>
      <c r="K19" s="396"/>
      <c r="L19" s="396"/>
      <c r="M19" s="396"/>
      <c r="N19" s="53"/>
    </row>
    <row r="20" spans="4:19" ht="18" customHeight="1">
      <c r="D20" s="394" t="s">
        <v>373</v>
      </c>
      <c r="E20" s="395" t="s">
        <v>1520</v>
      </c>
      <c r="F20" s="52"/>
      <c r="G20" s="52"/>
      <c r="H20" s="52"/>
      <c r="I20" s="52">
        <v>-681965145</v>
      </c>
      <c r="J20" s="396">
        <v>0</v>
      </c>
      <c r="K20" s="396"/>
      <c r="L20" s="396"/>
      <c r="M20" s="396"/>
      <c r="N20" s="53"/>
    </row>
    <row r="21" spans="4:19" s="238" customFormat="1" ht="18" customHeight="1">
      <c r="D21" s="403" t="s">
        <v>373</v>
      </c>
      <c r="E21" s="523" t="s">
        <v>1520</v>
      </c>
      <c r="F21" s="404"/>
      <c r="G21" s="404"/>
      <c r="H21" s="404"/>
      <c r="I21" s="404">
        <v>798641919</v>
      </c>
      <c r="J21" s="524">
        <v>798641919</v>
      </c>
      <c r="K21" s="524"/>
      <c r="L21" s="524"/>
      <c r="M21" s="524"/>
      <c r="N21" s="53"/>
      <c r="P21" s="5"/>
      <c r="Q21" s="5"/>
      <c r="R21" s="5"/>
      <c r="S21" s="5"/>
    </row>
    <row r="22" spans="4:19" s="238" customFormat="1" ht="18" customHeight="1">
      <c r="D22" s="403" t="s">
        <v>373</v>
      </c>
      <c r="E22" s="523" t="s">
        <v>1520</v>
      </c>
      <c r="F22" s="404"/>
      <c r="G22" s="404"/>
      <c r="H22" s="404"/>
      <c r="I22" s="404">
        <v>1199</v>
      </c>
      <c r="J22" s="524">
        <v>1199</v>
      </c>
      <c r="K22" s="524"/>
      <c r="L22" s="524"/>
      <c r="M22" s="524"/>
      <c r="N22" s="53"/>
      <c r="P22" s="5"/>
      <c r="Q22" s="5"/>
      <c r="R22" s="5"/>
      <c r="S22" s="5"/>
    </row>
    <row r="23" spans="4:19" s="238" customFormat="1" ht="18" customHeight="1">
      <c r="D23" s="403" t="s">
        <v>1357</v>
      </c>
      <c r="E23" s="523" t="s">
        <v>209</v>
      </c>
      <c r="F23" s="404"/>
      <c r="G23" s="404"/>
      <c r="H23" s="404"/>
      <c r="I23" s="404">
        <v>-798643118</v>
      </c>
      <c r="J23" s="524">
        <v>-798643118</v>
      </c>
      <c r="K23" s="524"/>
      <c r="L23" s="524"/>
      <c r="M23" s="524"/>
      <c r="N23" s="53"/>
      <c r="P23" s="5"/>
      <c r="Q23" s="5"/>
      <c r="R23" s="5"/>
      <c r="S23" s="5"/>
    </row>
    <row r="24" spans="4:19" ht="18" customHeight="1">
      <c r="D24" s="394" t="s">
        <v>1357</v>
      </c>
      <c r="E24" s="395" t="s">
        <v>209</v>
      </c>
      <c r="F24" s="52"/>
      <c r="G24" s="52"/>
      <c r="H24" s="52"/>
      <c r="I24" s="52">
        <v>3389214180</v>
      </c>
      <c r="J24" s="396">
        <v>3389214180</v>
      </c>
      <c r="K24" s="396"/>
      <c r="L24" s="396"/>
      <c r="M24" s="396"/>
      <c r="N24" s="53"/>
    </row>
    <row r="25" spans="4:19" ht="18" customHeight="1">
      <c r="D25" s="394"/>
      <c r="E25" s="395" t="s">
        <v>422</v>
      </c>
      <c r="F25" s="52"/>
      <c r="G25" s="52"/>
      <c r="H25" s="52"/>
      <c r="I25" s="52">
        <v>-3389214180</v>
      </c>
      <c r="J25" s="396">
        <v>-3389214180</v>
      </c>
      <c r="K25" s="396"/>
      <c r="L25" s="396"/>
      <c r="M25" s="396"/>
      <c r="N25" s="53"/>
    </row>
    <row r="26" spans="4:19" s="522" customFormat="1" ht="18" customHeight="1">
      <c r="D26" s="517"/>
      <c r="E26" s="518"/>
      <c r="F26" s="519"/>
      <c r="G26" s="519"/>
      <c r="H26" s="519"/>
      <c r="I26" s="519"/>
      <c r="J26" s="520"/>
      <c r="K26" s="520"/>
      <c r="L26" s="520"/>
      <c r="M26" s="520"/>
      <c r="N26" s="521"/>
      <c r="P26" s="5"/>
      <c r="Q26" s="5"/>
      <c r="R26" s="5"/>
      <c r="S26" s="5"/>
    </row>
    <row r="27" spans="4:19" ht="18" customHeight="1">
      <c r="D27" s="394"/>
      <c r="E27" s="395"/>
      <c r="F27" s="52"/>
      <c r="G27" s="52"/>
      <c r="H27" s="52"/>
      <c r="I27" s="52"/>
      <c r="J27" s="396"/>
      <c r="K27" s="396"/>
      <c r="L27" s="396"/>
      <c r="M27" s="396"/>
      <c r="N27" s="53"/>
    </row>
    <row r="28" spans="4:19" ht="18" customHeight="1">
      <c r="D28" s="394"/>
      <c r="E28" s="395"/>
      <c r="F28" s="52"/>
      <c r="G28" s="52"/>
      <c r="H28" s="52"/>
      <c r="I28" s="52"/>
      <c r="J28" s="396"/>
      <c r="K28" s="396"/>
      <c r="L28" s="396"/>
      <c r="M28" s="396"/>
      <c r="N28" s="53"/>
    </row>
    <row r="29" spans="4:19" ht="18" customHeight="1">
      <c r="D29" s="394"/>
      <c r="E29" s="395"/>
      <c r="F29" s="52"/>
      <c r="G29" s="52"/>
      <c r="H29" s="52"/>
      <c r="I29" s="52"/>
      <c r="J29" s="396"/>
      <c r="K29" s="396"/>
      <c r="L29" s="396"/>
      <c r="M29" s="396"/>
      <c r="N29" s="53"/>
    </row>
    <row r="30" spans="4:19" ht="18" customHeight="1">
      <c r="D30" s="394"/>
      <c r="E30" s="395"/>
      <c r="F30" s="52">
        <f>IF('2.0'!$N13&gt;0,'1.0'!$N30,0)</f>
        <v>0</v>
      </c>
      <c r="G30" s="52"/>
      <c r="H30" s="52"/>
      <c r="I30" s="52"/>
      <c r="J30" s="396"/>
      <c r="K30" s="396"/>
      <c r="L30" s="396"/>
      <c r="M30" s="396"/>
      <c r="N30" s="53"/>
    </row>
    <row r="31" spans="4:19" ht="18" customHeight="1">
      <c r="D31" s="394"/>
      <c r="E31" s="395"/>
      <c r="F31" s="52"/>
      <c r="G31" s="52"/>
      <c r="H31" s="52"/>
      <c r="I31" s="52"/>
      <c r="J31" s="396"/>
      <c r="K31" s="396"/>
      <c r="L31" s="396"/>
      <c r="M31" s="396"/>
      <c r="N31" s="53"/>
    </row>
    <row r="32" spans="4:19" ht="18" customHeight="1">
      <c r="D32" s="54"/>
      <c r="E32" s="395"/>
      <c r="F32" s="52"/>
      <c r="G32" s="52"/>
      <c r="H32" s="52"/>
      <c r="I32" s="52"/>
      <c r="J32" s="396"/>
      <c r="K32" s="396"/>
      <c r="L32" s="396"/>
      <c r="M32" s="396"/>
      <c r="N32" s="53"/>
    </row>
    <row r="33" spans="4:14" ht="18" customHeight="1">
      <c r="D33" s="54"/>
      <c r="E33" s="395"/>
      <c r="F33" s="52"/>
      <c r="G33" s="52"/>
      <c r="H33" s="52"/>
      <c r="I33" s="52"/>
      <c r="J33" s="396"/>
      <c r="K33" s="396"/>
      <c r="L33" s="396"/>
      <c r="M33" s="396"/>
      <c r="N33" s="53"/>
    </row>
    <row r="34" spans="4:14" ht="18" customHeight="1">
      <c r="D34" s="54"/>
      <c r="E34" s="395"/>
      <c r="F34" s="52"/>
      <c r="G34" s="52"/>
      <c r="H34" s="52"/>
      <c r="I34" s="52"/>
      <c r="J34" s="396"/>
      <c r="K34" s="396"/>
      <c r="L34" s="396"/>
      <c r="M34" s="396"/>
      <c r="N34" s="53"/>
    </row>
    <row r="35" spans="4:14" ht="18" customHeight="1">
      <c r="D35" s="54"/>
      <c r="E35" s="395"/>
      <c r="F35" s="52"/>
      <c r="G35" s="52"/>
      <c r="H35" s="52"/>
      <c r="I35" s="52"/>
      <c r="J35" s="396"/>
      <c r="K35" s="396"/>
      <c r="L35" s="396"/>
      <c r="M35" s="396"/>
      <c r="N35" s="53"/>
    </row>
    <row r="36" spans="4:14" ht="18" customHeight="1">
      <c r="D36" s="54"/>
      <c r="E36" s="395"/>
      <c r="F36" s="52"/>
      <c r="G36" s="52"/>
      <c r="H36" s="52"/>
      <c r="I36" s="52"/>
      <c r="J36" s="396"/>
      <c r="K36" s="396"/>
      <c r="L36" s="396"/>
      <c r="M36" s="396"/>
      <c r="N36" s="53"/>
    </row>
    <row r="37" spans="4:14" ht="18" customHeight="1">
      <c r="D37" s="54"/>
      <c r="E37" s="395"/>
      <c r="F37" s="52"/>
      <c r="G37" s="52"/>
      <c r="H37" s="52"/>
      <c r="I37" s="52"/>
      <c r="J37" s="396"/>
      <c r="K37" s="396"/>
      <c r="L37" s="396"/>
      <c r="M37" s="396"/>
      <c r="N37" s="53"/>
    </row>
    <row r="38" spans="4:14" ht="18" customHeight="1">
      <c r="D38" s="54"/>
      <c r="E38" s="395"/>
      <c r="F38" s="52"/>
      <c r="G38" s="52"/>
      <c r="H38" s="52"/>
      <c r="I38" s="52"/>
      <c r="J38" s="396"/>
      <c r="K38" s="396"/>
      <c r="L38" s="396"/>
      <c r="M38" s="396"/>
      <c r="N38" s="53"/>
    </row>
    <row r="39" spans="4:14" ht="18" customHeight="1">
      <c r="D39" s="54"/>
      <c r="E39" s="395"/>
      <c r="F39" s="52"/>
      <c r="G39" s="52"/>
      <c r="H39" s="52"/>
      <c r="I39" s="52"/>
      <c r="J39" s="396"/>
      <c r="K39" s="396"/>
      <c r="L39" s="396"/>
      <c r="M39" s="396"/>
      <c r="N39" s="53"/>
    </row>
    <row r="40" spans="4:14" ht="18" customHeight="1">
      <c r="D40" s="54"/>
      <c r="E40" s="395"/>
      <c r="F40" s="52"/>
      <c r="G40" s="52"/>
      <c r="H40" s="52"/>
      <c r="I40" s="52"/>
      <c r="J40" s="396"/>
      <c r="K40" s="396"/>
      <c r="L40" s="396"/>
      <c r="M40" s="396"/>
      <c r="N40" s="53"/>
    </row>
    <row r="41" spans="4:14" ht="18" customHeight="1">
      <c r="D41" s="54"/>
      <c r="E41" s="395"/>
      <c r="F41" s="52"/>
      <c r="G41" s="52"/>
      <c r="H41" s="52"/>
      <c r="I41" s="52"/>
      <c r="J41" s="396"/>
      <c r="K41" s="396"/>
      <c r="L41" s="396"/>
      <c r="M41" s="396"/>
      <c r="N41" s="53"/>
    </row>
    <row r="42" spans="4:14" ht="18" customHeight="1">
      <c r="D42" s="54"/>
      <c r="E42" s="395"/>
      <c r="F42" s="52"/>
      <c r="G42" s="52"/>
      <c r="H42" s="52"/>
      <c r="I42" s="52"/>
      <c r="J42" s="396"/>
      <c r="K42" s="396"/>
      <c r="L42" s="396"/>
      <c r="M42" s="396"/>
      <c r="N42" s="53"/>
    </row>
    <row r="43" spans="4:14" ht="18" customHeight="1">
      <c r="D43" s="54"/>
      <c r="E43" s="395"/>
      <c r="F43" s="52"/>
      <c r="G43" s="52"/>
      <c r="H43" s="52"/>
      <c r="I43" s="52"/>
      <c r="J43" s="396"/>
      <c r="K43" s="396"/>
      <c r="L43" s="396"/>
      <c r="M43" s="396"/>
      <c r="N43" s="53"/>
    </row>
    <row r="44" spans="4:14" ht="18" customHeight="1">
      <c r="D44" s="54"/>
      <c r="E44" s="395"/>
      <c r="F44" s="52"/>
      <c r="G44" s="52"/>
      <c r="H44" s="52"/>
      <c r="I44" s="52"/>
      <c r="J44" s="396"/>
      <c r="K44" s="396"/>
      <c r="L44" s="396"/>
      <c r="M44" s="396"/>
      <c r="N44" s="53"/>
    </row>
    <row r="45" spans="4:14" ht="18" customHeight="1">
      <c r="D45" s="54"/>
      <c r="E45" s="395"/>
      <c r="F45" s="52"/>
      <c r="G45" s="52"/>
      <c r="H45" s="52"/>
      <c r="I45" s="52"/>
      <c r="J45" s="396"/>
      <c r="K45" s="396"/>
      <c r="L45" s="396"/>
      <c r="M45" s="396"/>
      <c r="N45" s="53"/>
    </row>
    <row r="46" spans="4:14" ht="18" customHeight="1">
      <c r="D46" s="54"/>
      <c r="E46" s="395"/>
      <c r="F46" s="52"/>
      <c r="G46" s="52"/>
      <c r="H46" s="52"/>
      <c r="I46" s="52"/>
      <c r="J46" s="396"/>
      <c r="K46" s="396"/>
      <c r="L46" s="396"/>
      <c r="M46" s="396"/>
      <c r="N46" s="53"/>
    </row>
    <row r="47" spans="4:14" ht="18" customHeight="1">
      <c r="D47" s="54"/>
      <c r="E47" s="395"/>
      <c r="F47" s="52"/>
      <c r="G47" s="52"/>
      <c r="H47" s="52"/>
      <c r="I47" s="52"/>
      <c r="J47" s="396"/>
      <c r="K47" s="396"/>
      <c r="L47" s="396"/>
      <c r="M47" s="396"/>
      <c r="N47" s="53"/>
    </row>
    <row r="48" spans="4:14" ht="18" customHeight="1">
      <c r="D48" s="54"/>
      <c r="E48" s="395"/>
      <c r="F48" s="52"/>
      <c r="G48" s="52"/>
      <c r="H48" s="52"/>
      <c r="I48" s="52"/>
      <c r="J48" s="396"/>
      <c r="K48" s="396"/>
      <c r="L48" s="396"/>
      <c r="M48" s="396"/>
      <c r="N48" s="53"/>
    </row>
    <row r="49" spans="4:14" ht="18" customHeight="1">
      <c r="D49" s="54"/>
      <c r="E49" s="395"/>
      <c r="F49" s="52"/>
      <c r="G49" s="52"/>
      <c r="H49" s="52"/>
      <c r="I49" s="52"/>
      <c r="J49" s="396"/>
      <c r="K49" s="396"/>
      <c r="L49" s="396"/>
      <c r="M49" s="396"/>
      <c r="N49" s="53"/>
    </row>
    <row r="50" spans="4:14" ht="18" customHeight="1">
      <c r="D50" s="54"/>
      <c r="E50" s="395"/>
      <c r="F50" s="52"/>
      <c r="G50" s="52"/>
      <c r="H50" s="52"/>
      <c r="I50" s="52"/>
      <c r="J50" s="396"/>
      <c r="K50" s="396"/>
      <c r="L50" s="396"/>
      <c r="M50" s="396"/>
      <c r="N50" s="53"/>
    </row>
    <row r="51" spans="4:14" ht="18" customHeight="1">
      <c r="D51" s="54"/>
      <c r="E51" s="395"/>
      <c r="F51" s="52"/>
      <c r="G51" s="52"/>
      <c r="H51" s="52"/>
      <c r="I51" s="52"/>
      <c r="J51" s="396"/>
      <c r="K51" s="396"/>
      <c r="L51" s="396"/>
      <c r="M51" s="396"/>
      <c r="N51" s="53"/>
    </row>
    <row r="52" spans="4:14" ht="18" customHeight="1">
      <c r="D52" s="54"/>
      <c r="E52" s="395"/>
      <c r="F52" s="52"/>
      <c r="G52" s="52"/>
      <c r="H52" s="52"/>
      <c r="I52" s="52"/>
      <c r="J52" s="396"/>
      <c r="K52" s="396"/>
      <c r="L52" s="396"/>
      <c r="M52" s="396"/>
      <c r="N52" s="53"/>
    </row>
    <row r="53" spans="4:14" ht="18" customHeight="1">
      <c r="D53" s="54"/>
      <c r="E53" s="395"/>
      <c r="F53" s="52"/>
      <c r="G53" s="52"/>
      <c r="H53" s="52"/>
      <c r="I53" s="52"/>
      <c r="J53" s="396"/>
      <c r="K53" s="396"/>
      <c r="L53" s="396"/>
      <c r="M53" s="396"/>
      <c r="N53" s="53"/>
    </row>
    <row r="54" spans="4:14" ht="18" customHeight="1" thickBot="1">
      <c r="D54" s="409"/>
      <c r="E54" s="525"/>
      <c r="F54" s="55"/>
      <c r="G54" s="55"/>
      <c r="H54" s="55"/>
      <c r="I54" s="55"/>
      <c r="J54" s="398"/>
      <c r="K54" s="398"/>
      <c r="L54" s="398"/>
      <c r="M54" s="398"/>
      <c r="N54" s="399"/>
    </row>
  </sheetData>
  <phoneticPr fontId="2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223055"/>
  </sheetPr>
  <dimension ref="C4:N61"/>
  <sheetViews>
    <sheetView showGridLines="0" topLeftCell="A16" zoomScaleNormal="100" workbookViewId="0">
      <selection activeCell="E27" sqref="E27:G27"/>
    </sheetView>
  </sheetViews>
  <sheetFormatPr defaultColWidth="9.125" defaultRowHeight="16.5" customHeight="1"/>
  <cols>
    <col min="1" max="3" width="2.75" style="20" customWidth="1"/>
    <col min="4" max="13" width="21.75" style="20" customWidth="1"/>
    <col min="14" max="23" width="20.75" style="20" customWidth="1"/>
    <col min="24" max="16384" width="9.125" style="20"/>
  </cols>
  <sheetData>
    <row r="4" spans="3:8" s="117" customFormat="1" ht="16.5" customHeight="1">
      <c r="C4" s="117">
        <v>1</v>
      </c>
      <c r="D4" s="117" t="s">
        <v>1807</v>
      </c>
      <c r="F4" s="20"/>
    </row>
    <row r="6" spans="3:8" ht="16.5" customHeight="1">
      <c r="D6" s="20" t="s">
        <v>1808</v>
      </c>
      <c r="E6" s="20">
        <v>1199</v>
      </c>
    </row>
    <row r="7" spans="3:8" ht="16.5" customHeight="1">
      <c r="D7" s="20" t="s">
        <v>1809</v>
      </c>
      <c r="E7" s="20">
        <v>650333455</v>
      </c>
      <c r="F7" s="20" t="s">
        <v>1832</v>
      </c>
    </row>
    <row r="8" spans="3:8" ht="16.5" customHeight="1" thickBot="1">
      <c r="D8" s="20" t="s">
        <v>1810</v>
      </c>
      <c r="E8" s="20">
        <v>-148309663</v>
      </c>
    </row>
    <row r="9" spans="3:8" ht="16.5" customHeight="1" thickBot="1">
      <c r="D9" s="123" t="s">
        <v>1830</v>
      </c>
      <c r="E9" s="124">
        <f>E6-E7+E8</f>
        <v>-798641919</v>
      </c>
    </row>
    <row r="13" spans="3:8" ht="16.5" customHeight="1" thickBot="1">
      <c r="D13" s="20" t="s">
        <v>1833</v>
      </c>
    </row>
    <row r="14" spans="3:8" ht="16.5" customHeight="1" thickBot="1">
      <c r="D14" s="915" t="s">
        <v>1849</v>
      </c>
      <c r="E14" s="916"/>
      <c r="F14" s="916"/>
      <c r="G14" s="917"/>
    </row>
    <row r="15" spans="3:8" ht="16.5" customHeight="1">
      <c r="D15" s="21" t="s">
        <v>0</v>
      </c>
      <c r="E15" s="23">
        <v>2192328600</v>
      </c>
      <c r="F15" s="22" t="s">
        <v>1834</v>
      </c>
      <c r="G15" s="115">
        <v>1541995145</v>
      </c>
      <c r="H15" s="20" t="s">
        <v>1639</v>
      </c>
    </row>
    <row r="16" spans="3:8" ht="16.5" customHeight="1">
      <c r="D16" s="21"/>
      <c r="E16" s="23"/>
      <c r="F16" s="22"/>
      <c r="G16" s="115"/>
    </row>
    <row r="17" spans="4:10" ht="16.5" customHeight="1">
      <c r="D17" s="21" t="s">
        <v>1810</v>
      </c>
      <c r="E17" s="23">
        <f>-E8</f>
        <v>148309663</v>
      </c>
      <c r="F17" s="22" t="s">
        <v>1835</v>
      </c>
      <c r="G17" s="115">
        <v>3510577560</v>
      </c>
    </row>
    <row r="18" spans="4:10" ht="16.5" customHeight="1" thickBot="1">
      <c r="D18" s="125"/>
      <c r="E18" s="119"/>
      <c r="F18" s="122" t="s">
        <v>1809</v>
      </c>
      <c r="G18" s="118">
        <f>SUM(E15:E17)-SUM(G15:G17)</f>
        <v>-2711934442</v>
      </c>
    </row>
    <row r="19" spans="4:10" ht="16.5" customHeight="1">
      <c r="G19" s="117">
        <f>SUM(G17:G18)</f>
        <v>798643118</v>
      </c>
    </row>
    <row r="20" spans="4:10" ht="16.5" customHeight="1" thickBot="1"/>
    <row r="21" spans="4:10" ht="16.5" customHeight="1">
      <c r="D21" s="126" t="s">
        <v>1811</v>
      </c>
      <c r="E21" s="127">
        <v>2590571062</v>
      </c>
      <c r="F21" s="127" t="s">
        <v>13</v>
      </c>
      <c r="G21" s="128">
        <v>2590571062</v>
      </c>
      <c r="H21" s="20" t="s">
        <v>1871</v>
      </c>
    </row>
    <row r="22" spans="4:10" ht="16.5" customHeight="1">
      <c r="D22" s="116"/>
      <c r="E22" s="22"/>
      <c r="F22" s="22"/>
      <c r="G22" s="115"/>
    </row>
    <row r="23" spans="4:10" ht="16.5" customHeight="1">
      <c r="D23" s="116" t="s">
        <v>1811</v>
      </c>
      <c r="E23" s="22">
        <f>SUM(G47:H47,J47)</f>
        <v>920006498</v>
      </c>
      <c r="F23" s="22" t="s">
        <v>302</v>
      </c>
      <c r="G23" s="115">
        <f>E23</f>
        <v>920006498</v>
      </c>
      <c r="H23" s="20" t="s">
        <v>1872</v>
      </c>
    </row>
    <row r="24" spans="4:10" ht="16.5" customHeight="1">
      <c r="D24" s="116"/>
      <c r="E24" s="22"/>
      <c r="F24" s="22"/>
      <c r="G24" s="115"/>
    </row>
    <row r="25" spans="4:10" ht="16.5" customHeight="1">
      <c r="D25" s="116" t="s">
        <v>856</v>
      </c>
      <c r="E25" s="22" t="e">
        <f>T_IS!#REF!</f>
        <v>#REF!</v>
      </c>
      <c r="F25" s="22" t="s">
        <v>1811</v>
      </c>
      <c r="G25" s="115" t="e">
        <f>E25</f>
        <v>#REF!</v>
      </c>
      <c r="H25" s="20" t="s">
        <v>1873</v>
      </c>
    </row>
    <row r="26" spans="4:10" ht="16.5" customHeight="1">
      <c r="D26" s="116"/>
      <c r="E26" s="22"/>
      <c r="F26" s="22"/>
      <c r="G26" s="115"/>
      <c r="J26" s="129"/>
    </row>
    <row r="27" spans="4:10" ht="16.5" customHeight="1">
      <c r="D27" s="116" t="s">
        <v>1809</v>
      </c>
      <c r="E27" s="22">
        <f>E9</f>
        <v>-798641919</v>
      </c>
      <c r="F27" s="22" t="s">
        <v>1811</v>
      </c>
      <c r="G27" s="115">
        <f>E27</f>
        <v>-798641919</v>
      </c>
      <c r="J27" s="129"/>
    </row>
    <row r="28" spans="4:10" ht="16.5" customHeight="1">
      <c r="D28" s="116"/>
      <c r="E28" s="22"/>
      <c r="F28" s="22"/>
      <c r="G28" s="115"/>
      <c r="J28" s="129"/>
    </row>
    <row r="29" spans="4:10" ht="16.5" customHeight="1">
      <c r="D29" s="116" t="s">
        <v>302</v>
      </c>
      <c r="E29" s="120">
        <v>0</v>
      </c>
      <c r="F29" s="22" t="s">
        <v>1811</v>
      </c>
      <c r="G29" s="115">
        <f>E29</f>
        <v>0</v>
      </c>
      <c r="J29" s="129"/>
    </row>
    <row r="30" spans="4:10" ht="16.5" customHeight="1" thickBot="1">
      <c r="D30" s="116"/>
      <c r="E30" s="22"/>
      <c r="F30" s="22"/>
      <c r="G30" s="115"/>
      <c r="J30" s="129"/>
    </row>
    <row r="31" spans="4:10" s="117" customFormat="1" ht="16.5" customHeight="1">
      <c r="D31" s="130" t="s">
        <v>1811</v>
      </c>
      <c r="E31" s="131">
        <f>SUMIF($D$21:$D$29,D31,$E$21:$E$29)</f>
        <v>3510577560</v>
      </c>
      <c r="F31" s="131" t="s">
        <v>1811</v>
      </c>
      <c r="G31" s="132" t="e">
        <f>SUMIF($F$21:$F$29,F31,$G$21:$G$29)</f>
        <v>#REF!</v>
      </c>
    </row>
    <row r="32" spans="4:10" ht="16.5" customHeight="1" thickBot="1">
      <c r="D32" s="133"/>
      <c r="E32" s="133"/>
      <c r="F32" s="133" t="s">
        <v>1829</v>
      </c>
      <c r="G32" s="134" t="e">
        <f>E31-G31</f>
        <v>#REF!</v>
      </c>
    </row>
    <row r="34" spans="4:14" ht="16.5" customHeight="1">
      <c r="D34" s="19"/>
    </row>
    <row r="36" spans="4:14" ht="16.5" customHeight="1" thickBot="1">
      <c r="D36" s="20" t="s">
        <v>1869</v>
      </c>
      <c r="F36" s="20" t="s">
        <v>1868</v>
      </c>
    </row>
    <row r="37" spans="4:14" ht="16.5" customHeight="1" thickBot="1">
      <c r="D37" s="135" t="s">
        <v>1817</v>
      </c>
      <c r="E37" s="136" t="s">
        <v>415</v>
      </c>
      <c r="F37" s="136" t="s">
        <v>1818</v>
      </c>
      <c r="G37" s="136" t="s">
        <v>302</v>
      </c>
      <c r="H37" s="136" t="s">
        <v>1819</v>
      </c>
      <c r="I37" s="136" t="s">
        <v>1820</v>
      </c>
      <c r="J37" s="136" t="s">
        <v>1821</v>
      </c>
      <c r="K37" s="136" t="s">
        <v>1822</v>
      </c>
      <c r="L37" s="136" t="s">
        <v>1823</v>
      </c>
      <c r="M37" s="137" t="s">
        <v>558</v>
      </c>
    </row>
    <row r="38" spans="4:14" ht="16.5" customHeight="1">
      <c r="D38" s="918" t="s">
        <v>1824</v>
      </c>
      <c r="E38" s="138" t="s">
        <v>1825</v>
      </c>
      <c r="F38" s="139">
        <v>2590571062</v>
      </c>
      <c r="G38" s="139">
        <v>1711716954</v>
      </c>
      <c r="H38" s="139">
        <v>196355198</v>
      </c>
      <c r="I38" s="139">
        <v>-3510577560</v>
      </c>
      <c r="J38" s="139">
        <v>-306100509</v>
      </c>
      <c r="K38" s="139">
        <v>-2518274</v>
      </c>
      <c r="L38" s="139">
        <v>-396344008</v>
      </c>
      <c r="M38" s="140">
        <v>283102863</v>
      </c>
      <c r="N38" s="20" t="b">
        <f>SUM(F38:L38)=M38</f>
        <v>1</v>
      </c>
    </row>
    <row r="39" spans="4:14" ht="16.5" customHeight="1" thickBot="1">
      <c r="D39" s="919"/>
      <c r="E39" s="154" t="s">
        <v>1826</v>
      </c>
      <c r="F39" s="141"/>
      <c r="G39" s="141"/>
      <c r="H39" s="141"/>
      <c r="I39" s="141"/>
      <c r="J39" s="141"/>
      <c r="K39" s="141"/>
      <c r="L39" s="141">
        <v>396344008</v>
      </c>
      <c r="M39" s="142">
        <v>396344008</v>
      </c>
      <c r="N39" s="20" t="b">
        <f>SUM(F39:L39)=M39</f>
        <v>1</v>
      </c>
    </row>
    <row r="40" spans="4:14" s="117" customFormat="1" ht="16.5" customHeight="1" thickBot="1">
      <c r="D40" s="920" t="s">
        <v>1827</v>
      </c>
      <c r="E40" s="921"/>
      <c r="F40" s="143">
        <v>2590571062</v>
      </c>
      <c r="G40" s="143">
        <v>1711716954</v>
      </c>
      <c r="H40" s="143">
        <v>196355198</v>
      </c>
      <c r="I40" s="143">
        <v>-3510577560</v>
      </c>
      <c r="J40" s="143">
        <v>-306100509</v>
      </c>
      <c r="K40" s="143">
        <v>-2518274</v>
      </c>
      <c r="L40" s="143">
        <v>0</v>
      </c>
      <c r="M40" s="144">
        <v>679446871</v>
      </c>
    </row>
    <row r="41" spans="4:14" ht="16.5" customHeight="1">
      <c r="D41" s="922" t="s">
        <v>1828</v>
      </c>
      <c r="E41" s="145" t="s">
        <v>1825</v>
      </c>
      <c r="F41" s="146">
        <v>2316940.4</v>
      </c>
      <c r="G41" s="146">
        <v>1402188.24</v>
      </c>
      <c r="H41" s="146"/>
      <c r="I41" s="146">
        <v>-2888888.71</v>
      </c>
      <c r="J41" s="146">
        <v>-262385</v>
      </c>
      <c r="K41" s="146">
        <v>-2261.9299999999998</v>
      </c>
      <c r="L41" s="146">
        <v>-329929.25</v>
      </c>
      <c r="M41" s="147">
        <v>235663.75</v>
      </c>
    </row>
    <row r="42" spans="4:14" ht="16.5" customHeight="1" thickBot="1">
      <c r="D42" s="919"/>
      <c r="E42" s="154" t="s">
        <v>1826</v>
      </c>
      <c r="F42" s="141"/>
      <c r="G42" s="141"/>
      <c r="H42" s="141"/>
      <c r="I42" s="141"/>
      <c r="J42" s="141"/>
      <c r="K42" s="141"/>
      <c r="L42" s="141">
        <v>329929.25</v>
      </c>
      <c r="M42" s="142">
        <v>329929.25</v>
      </c>
    </row>
    <row r="43" spans="4:14" ht="16.5" customHeight="1" thickBot="1">
      <c r="D43" s="923" t="s">
        <v>1827</v>
      </c>
      <c r="E43" s="924"/>
      <c r="F43" s="148">
        <v>2316940.4</v>
      </c>
      <c r="G43" s="148">
        <v>1402188.24</v>
      </c>
      <c r="H43" s="148">
        <v>0</v>
      </c>
      <c r="I43" s="148">
        <v>-2888888.71</v>
      </c>
      <c r="J43" s="148">
        <v>-262385</v>
      </c>
      <c r="K43" s="148">
        <v>-2261.9299999999998</v>
      </c>
      <c r="L43" s="148">
        <v>0</v>
      </c>
      <c r="M43" s="149">
        <v>565593</v>
      </c>
    </row>
    <row r="45" spans="4:14" ht="16.5" customHeight="1" thickBot="1">
      <c r="D45" s="20" t="s">
        <v>1870</v>
      </c>
    </row>
    <row r="46" spans="4:14" ht="16.5" customHeight="1" thickBot="1">
      <c r="D46" s="135" t="s">
        <v>1817</v>
      </c>
      <c r="E46" s="136" t="s">
        <v>415</v>
      </c>
      <c r="F46" s="136" t="s">
        <v>1818</v>
      </c>
      <c r="G46" s="136" t="s">
        <v>302</v>
      </c>
      <c r="H46" s="136" t="s">
        <v>1819</v>
      </c>
      <c r="I46" s="136" t="s">
        <v>1820</v>
      </c>
      <c r="J46" s="136" t="s">
        <v>1821</v>
      </c>
      <c r="K46" s="136" t="s">
        <v>1822</v>
      </c>
      <c r="L46" s="136" t="s">
        <v>1823</v>
      </c>
      <c r="M46" s="137" t="s">
        <v>558</v>
      </c>
    </row>
    <row r="47" spans="4:14" ht="16.5" customHeight="1">
      <c r="D47" s="918" t="s">
        <v>1824</v>
      </c>
      <c r="E47" s="138" t="s">
        <v>1825</v>
      </c>
      <c r="F47" s="139">
        <v>2590571062</v>
      </c>
      <c r="G47" s="139">
        <v>1029751809</v>
      </c>
      <c r="H47" s="139">
        <v>196355198</v>
      </c>
      <c r="I47" s="139">
        <v>-3510577560</v>
      </c>
      <c r="J47" s="139">
        <f>J38</f>
        <v>-306100509</v>
      </c>
      <c r="K47" s="139"/>
      <c r="L47" s="139"/>
      <c r="M47" s="140">
        <f>SUM(F47:L47)</f>
        <v>0</v>
      </c>
      <c r="N47" s="20">
        <f>SUM(F47:L47)</f>
        <v>0</v>
      </c>
    </row>
    <row r="48" spans="4:14" ht="16.5" customHeight="1" thickBot="1">
      <c r="D48" s="919"/>
      <c r="E48" s="154" t="s">
        <v>1826</v>
      </c>
      <c r="F48" s="141"/>
      <c r="G48" s="141"/>
      <c r="H48" s="141"/>
      <c r="I48" s="141"/>
      <c r="J48" s="141"/>
      <c r="K48" s="141"/>
      <c r="L48" s="141"/>
      <c r="M48" s="142">
        <f>SUM(F48:L48)</f>
        <v>0</v>
      </c>
      <c r="N48" s="20">
        <f>SUM(F48:L48)</f>
        <v>0</v>
      </c>
    </row>
    <row r="49" spans="4:13" ht="16.5" customHeight="1" thickBot="1">
      <c r="D49" s="920" t="s">
        <v>1827</v>
      </c>
      <c r="E49" s="921"/>
      <c r="F49" s="143">
        <v>2590571062</v>
      </c>
      <c r="G49" s="143">
        <v>1711716954</v>
      </c>
      <c r="H49" s="143">
        <v>196355198</v>
      </c>
      <c r="I49" s="143">
        <v>-3510577560</v>
      </c>
      <c r="J49" s="143">
        <v>-306100509</v>
      </c>
      <c r="K49" s="143">
        <v>0</v>
      </c>
      <c r="L49" s="143">
        <v>0</v>
      </c>
      <c r="M49" s="144">
        <f>SUM(M47:M48)</f>
        <v>0</v>
      </c>
    </row>
    <row r="50" spans="4:13" ht="16.5" customHeight="1">
      <c r="D50" s="922" t="s">
        <v>1828</v>
      </c>
      <c r="E50" s="145" t="s">
        <v>1825</v>
      </c>
      <c r="F50" s="146">
        <v>2316940.4</v>
      </c>
      <c r="G50" s="146">
        <v>1402188.24</v>
      </c>
      <c r="H50" s="146"/>
      <c r="I50" s="146">
        <v>-2888888.71</v>
      </c>
      <c r="J50" s="146">
        <v>-262385</v>
      </c>
      <c r="K50" s="146">
        <v>-2261.9299999999998</v>
      </c>
      <c r="L50" s="146">
        <v>-329929.25</v>
      </c>
      <c r="M50" s="147">
        <v>235663.75</v>
      </c>
    </row>
    <row r="51" spans="4:13" ht="16.5" customHeight="1" thickBot="1">
      <c r="D51" s="919"/>
      <c r="E51" s="154" t="s">
        <v>1826</v>
      </c>
      <c r="F51" s="141"/>
      <c r="G51" s="141"/>
      <c r="H51" s="141"/>
      <c r="I51" s="141"/>
      <c r="J51" s="141"/>
      <c r="K51" s="141"/>
      <c r="L51" s="141">
        <v>329929.25</v>
      </c>
      <c r="M51" s="142">
        <v>329929.25</v>
      </c>
    </row>
    <row r="52" spans="4:13" ht="16.5" customHeight="1" thickBot="1">
      <c r="D52" s="923" t="s">
        <v>1827</v>
      </c>
      <c r="E52" s="924"/>
      <c r="F52" s="148">
        <v>2316940.4</v>
      </c>
      <c r="G52" s="148">
        <v>1402188.24</v>
      </c>
      <c r="H52" s="148">
        <v>0</v>
      </c>
      <c r="I52" s="148">
        <v>-2888888.71</v>
      </c>
      <c r="J52" s="148">
        <v>-262385</v>
      </c>
      <c r="K52" s="148">
        <v>-2261.9299999999998</v>
      </c>
      <c r="L52" s="148">
        <v>0</v>
      </c>
      <c r="M52" s="149">
        <v>565593</v>
      </c>
    </row>
    <row r="53" spans="4:13" ht="16.5" customHeight="1">
      <c r="G53" s="20">
        <f>+G49-G47</f>
        <v>681965145</v>
      </c>
    </row>
    <row r="55" spans="4:13" ht="16.5" customHeight="1" thickBot="1">
      <c r="D55" s="20" t="s">
        <v>1831</v>
      </c>
    </row>
    <row r="56" spans="4:13" s="114" customFormat="1" ht="16.5" customHeight="1" thickBot="1">
      <c r="D56" s="150" t="s">
        <v>461</v>
      </c>
      <c r="E56" s="151" t="s">
        <v>1836</v>
      </c>
      <c r="F56" s="151" t="s">
        <v>1837</v>
      </c>
      <c r="G56" s="152" t="s">
        <v>558</v>
      </c>
    </row>
    <row r="57" spans="4:13" ht="16.5" customHeight="1" thickBot="1">
      <c r="D57" s="121">
        <v>0</v>
      </c>
      <c r="E57" s="122">
        <f>E29</f>
        <v>0</v>
      </c>
      <c r="F57" s="122">
        <v>0</v>
      </c>
      <c r="G57" s="118">
        <f>SUM(D57:F57)</f>
        <v>0</v>
      </c>
      <c r="H57" s="19" t="b">
        <f>G57=M49</f>
        <v>1</v>
      </c>
    </row>
    <row r="61" spans="4:13" ht="16.5" customHeight="1">
      <c r="G61" s="153"/>
    </row>
  </sheetData>
  <mergeCells count="9">
    <mergeCell ref="D14:G14"/>
    <mergeCell ref="D47:D48"/>
    <mergeCell ref="D49:E49"/>
    <mergeCell ref="D50:D51"/>
    <mergeCell ref="D52:E52"/>
    <mergeCell ref="D38:D39"/>
    <mergeCell ref="D40:E40"/>
    <mergeCell ref="D41:D42"/>
    <mergeCell ref="D43:E43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Q33"/>
  <sheetViews>
    <sheetView showGridLines="0" topLeftCell="A13" zoomScale="80" zoomScaleNormal="80" workbookViewId="0">
      <selection activeCell="D28" sqref="D28:D29"/>
    </sheetView>
  </sheetViews>
  <sheetFormatPr defaultColWidth="8.75" defaultRowHeight="18" customHeight="1"/>
  <cols>
    <col min="1" max="3" width="2.375" style="3" customWidth="1"/>
    <col min="4" max="6" width="18.25" style="3" customWidth="1"/>
    <col min="7" max="7" width="18.25" style="24" customWidth="1"/>
    <col min="8" max="15" width="18.25" style="3" customWidth="1"/>
    <col min="16" max="16" width="14.625" style="3" customWidth="1"/>
    <col min="17" max="21" width="20.375" style="3" customWidth="1"/>
    <col min="22" max="16384" width="8.75" style="3"/>
  </cols>
  <sheetData>
    <row r="1" spans="1:14" ht="33.6" customHeight="1">
      <c r="A1" s="2" t="s">
        <v>502</v>
      </c>
    </row>
    <row r="2" spans="1:14" ht="18" customHeight="1">
      <c r="D2" s="719" t="s">
        <v>2056</v>
      </c>
    </row>
    <row r="3" spans="1:14" s="47" customFormat="1" ht="18" customHeight="1">
      <c r="D3" s="885" t="s">
        <v>503</v>
      </c>
      <c r="E3" s="885" t="s">
        <v>504</v>
      </c>
      <c r="F3" s="885" t="s">
        <v>505</v>
      </c>
      <c r="G3" s="885" t="s">
        <v>506</v>
      </c>
      <c r="H3" s="885" t="s">
        <v>507</v>
      </c>
      <c r="I3" s="885"/>
      <c r="J3" s="885" t="s">
        <v>508</v>
      </c>
      <c r="K3" s="885"/>
      <c r="L3" s="885" t="s">
        <v>1851</v>
      </c>
      <c r="M3" s="885"/>
    </row>
    <row r="4" spans="1:14" s="566" customFormat="1" ht="18" customHeight="1">
      <c r="D4" s="885"/>
      <c r="E4" s="885"/>
      <c r="F4" s="885"/>
      <c r="G4" s="885"/>
      <c r="H4" s="690" t="s">
        <v>509</v>
      </c>
      <c r="I4" s="690" t="s">
        <v>501</v>
      </c>
      <c r="J4" s="690" t="s">
        <v>509</v>
      </c>
      <c r="K4" s="690" t="s">
        <v>501</v>
      </c>
      <c r="L4" s="690" t="s">
        <v>509</v>
      </c>
      <c r="M4" s="690" t="s">
        <v>501</v>
      </c>
    </row>
    <row r="5" spans="1:14" s="6" customFormat="1" ht="18" customHeight="1">
      <c r="D5" s="691">
        <v>1</v>
      </c>
      <c r="E5" s="6" t="s">
        <v>15</v>
      </c>
      <c r="F5" s="6" t="s">
        <v>510</v>
      </c>
      <c r="G5" s="40" t="s">
        <v>511</v>
      </c>
      <c r="H5" s="346">
        <v>1</v>
      </c>
      <c r="I5" s="346">
        <v>1</v>
      </c>
      <c r="J5" s="346">
        <v>1</v>
      </c>
      <c r="K5" s="346">
        <v>1</v>
      </c>
      <c r="L5" s="346">
        <v>1</v>
      </c>
      <c r="M5" s="346">
        <v>1</v>
      </c>
    </row>
    <row r="6" spans="1:14" s="6" customFormat="1" ht="18" customHeight="1">
      <c r="D6" s="691">
        <v>2</v>
      </c>
      <c r="E6" s="6" t="s">
        <v>15</v>
      </c>
      <c r="F6" s="6" t="s">
        <v>512</v>
      </c>
      <c r="G6" s="40" t="s">
        <v>513</v>
      </c>
      <c r="H6" s="346">
        <v>1</v>
      </c>
      <c r="I6" s="346">
        <v>1</v>
      </c>
      <c r="J6" s="346">
        <v>1</v>
      </c>
      <c r="K6" s="346">
        <v>1</v>
      </c>
      <c r="L6" s="346">
        <v>0</v>
      </c>
      <c r="M6" s="346">
        <v>0</v>
      </c>
      <c r="N6" s="47" t="s">
        <v>1852</v>
      </c>
    </row>
    <row r="7" spans="1:14" s="6" customFormat="1" ht="18" customHeight="1">
      <c r="D7" s="691">
        <v>3</v>
      </c>
      <c r="E7" s="6" t="s">
        <v>15</v>
      </c>
      <c r="F7" s="6" t="s">
        <v>514</v>
      </c>
      <c r="G7" s="40" t="s">
        <v>515</v>
      </c>
      <c r="H7" s="346">
        <v>1</v>
      </c>
      <c r="I7" s="346">
        <v>1</v>
      </c>
      <c r="J7" s="346">
        <v>1</v>
      </c>
      <c r="K7" s="346">
        <v>1</v>
      </c>
      <c r="L7" s="346">
        <v>0</v>
      </c>
      <c r="M7" s="346">
        <v>0</v>
      </c>
      <c r="N7" s="47" t="s">
        <v>1853</v>
      </c>
    </row>
    <row r="8" spans="1:14" s="6" customFormat="1" ht="18" customHeight="1">
      <c r="D8" s="691">
        <v>4</v>
      </c>
      <c r="E8" s="6" t="s">
        <v>15</v>
      </c>
      <c r="F8" s="6" t="s">
        <v>516</v>
      </c>
      <c r="G8" s="40" t="s">
        <v>515</v>
      </c>
      <c r="H8" s="346">
        <v>1</v>
      </c>
      <c r="I8" s="346">
        <v>1</v>
      </c>
      <c r="J8" s="346">
        <v>1</v>
      </c>
      <c r="K8" s="346">
        <v>1</v>
      </c>
      <c r="L8" s="346">
        <v>1</v>
      </c>
      <c r="M8" s="346">
        <v>1</v>
      </c>
    </row>
    <row r="9" spans="1:14" s="6" customFormat="1" ht="18" customHeight="1">
      <c r="D9" s="691">
        <v>5</v>
      </c>
      <c r="E9" s="6" t="s">
        <v>15</v>
      </c>
      <c r="F9" s="6" t="s">
        <v>517</v>
      </c>
      <c r="G9" s="40" t="s">
        <v>515</v>
      </c>
      <c r="H9" s="346">
        <v>1</v>
      </c>
      <c r="I9" s="346">
        <v>1</v>
      </c>
      <c r="J9" s="692">
        <v>0</v>
      </c>
      <c r="K9" s="692">
        <v>0</v>
      </c>
      <c r="L9" s="692">
        <v>0</v>
      </c>
      <c r="M9" s="692">
        <v>0</v>
      </c>
      <c r="N9" s="47" t="s">
        <v>518</v>
      </c>
    </row>
    <row r="10" spans="1:14" s="6" customFormat="1" ht="18" customHeight="1">
      <c r="D10" s="691">
        <v>6</v>
      </c>
      <c r="E10" s="6" t="s">
        <v>15</v>
      </c>
      <c r="F10" s="6" t="s">
        <v>519</v>
      </c>
      <c r="G10" s="40" t="s">
        <v>520</v>
      </c>
      <c r="H10" s="346">
        <v>0.442</v>
      </c>
      <c r="I10" s="346">
        <v>0.442</v>
      </c>
      <c r="J10" s="346">
        <v>1</v>
      </c>
      <c r="K10" s="346">
        <v>1</v>
      </c>
      <c r="L10" s="346">
        <v>0</v>
      </c>
      <c r="M10" s="346">
        <v>0</v>
      </c>
      <c r="N10" s="47" t="s">
        <v>1586</v>
      </c>
    </row>
    <row r="11" spans="1:14" s="6" customFormat="1" ht="18" customHeight="1">
      <c r="D11" s="691">
        <v>7</v>
      </c>
      <c r="E11" s="6" t="s">
        <v>510</v>
      </c>
      <c r="F11" s="6" t="s">
        <v>521</v>
      </c>
      <c r="G11" s="40" t="s">
        <v>522</v>
      </c>
      <c r="H11" s="346">
        <v>1</v>
      </c>
      <c r="I11" s="346">
        <v>1</v>
      </c>
      <c r="J11" s="346">
        <v>1</v>
      </c>
      <c r="K11" s="346">
        <v>1</v>
      </c>
      <c r="L11" s="346">
        <v>1</v>
      </c>
      <c r="M11" s="346">
        <v>1</v>
      </c>
    </row>
    <row r="12" spans="1:14" s="6" customFormat="1" ht="18" customHeight="1">
      <c r="D12" s="691">
        <v>8</v>
      </c>
      <c r="E12" s="6" t="s">
        <v>510</v>
      </c>
      <c r="F12" s="6" t="s">
        <v>523</v>
      </c>
      <c r="G12" s="40" t="s">
        <v>522</v>
      </c>
      <c r="H12" s="346">
        <v>1</v>
      </c>
      <c r="I12" s="346">
        <v>1</v>
      </c>
      <c r="J12" s="346">
        <v>1</v>
      </c>
      <c r="K12" s="346">
        <v>1</v>
      </c>
      <c r="L12" s="346">
        <v>1</v>
      </c>
      <c r="M12" s="346">
        <v>1</v>
      </c>
    </row>
    <row r="13" spans="1:14" ht="18" customHeight="1">
      <c r="H13" s="693"/>
      <c r="I13" s="693"/>
    </row>
    <row r="14" spans="1:14" ht="18" customHeight="1">
      <c r="H14" s="693"/>
      <c r="I14" s="693"/>
    </row>
    <row r="15" spans="1:14" s="2" customFormat="1" ht="18" customHeight="1">
      <c r="G15" s="1"/>
      <c r="H15" s="694"/>
      <c r="I15" s="694"/>
    </row>
    <row r="16" spans="1:14" ht="18" customHeight="1">
      <c r="H16" s="693"/>
      <c r="I16" s="693"/>
    </row>
    <row r="18" spans="4:17" ht="18" customHeight="1">
      <c r="D18" s="3" t="s">
        <v>1994</v>
      </c>
    </row>
    <row r="19" spans="4:17" ht="18" customHeight="1">
      <c r="D19" s="885" t="s">
        <v>503</v>
      </c>
      <c r="E19" s="885" t="s">
        <v>504</v>
      </c>
      <c r="F19" s="885" t="s">
        <v>505</v>
      </c>
      <c r="G19" s="885" t="s">
        <v>506</v>
      </c>
      <c r="H19" s="885" t="s">
        <v>507</v>
      </c>
      <c r="I19" s="885"/>
      <c r="J19" s="885" t="s">
        <v>508</v>
      </c>
      <c r="K19" s="885"/>
      <c r="L19" s="885" t="s">
        <v>1851</v>
      </c>
      <c r="M19" s="885"/>
    </row>
    <row r="20" spans="4:17" ht="18" customHeight="1">
      <c r="D20" s="885"/>
      <c r="E20" s="885"/>
      <c r="F20" s="885"/>
      <c r="G20" s="885"/>
      <c r="H20" s="690" t="s">
        <v>509</v>
      </c>
      <c r="I20" s="690" t="s">
        <v>501</v>
      </c>
      <c r="J20" s="690" t="s">
        <v>509</v>
      </c>
      <c r="K20" s="690" t="s">
        <v>501</v>
      </c>
      <c r="L20" s="690" t="s">
        <v>509</v>
      </c>
      <c r="M20" s="690" t="s">
        <v>501</v>
      </c>
    </row>
    <row r="21" spans="4:17" ht="18" customHeight="1">
      <c r="D21" s="691">
        <v>1</v>
      </c>
      <c r="E21" s="6" t="s">
        <v>15</v>
      </c>
      <c r="F21" s="6" t="s">
        <v>510</v>
      </c>
      <c r="G21" s="40" t="s">
        <v>511</v>
      </c>
      <c r="H21" s="346">
        <v>1</v>
      </c>
      <c r="I21" s="346">
        <v>1</v>
      </c>
      <c r="J21" s="346">
        <v>1</v>
      </c>
      <c r="K21" s="346">
        <v>1</v>
      </c>
      <c r="L21" s="346">
        <v>1</v>
      </c>
      <c r="M21" s="346">
        <v>1</v>
      </c>
    </row>
    <row r="22" spans="4:17" ht="18" customHeight="1">
      <c r="D22" s="691">
        <v>2</v>
      </c>
      <c r="E22" s="6" t="s">
        <v>15</v>
      </c>
      <c r="F22" s="6" t="s">
        <v>516</v>
      </c>
      <c r="G22" s="40" t="s">
        <v>515</v>
      </c>
      <c r="H22" s="346">
        <v>1</v>
      </c>
      <c r="I22" s="346">
        <v>1</v>
      </c>
      <c r="J22" s="346">
        <v>1</v>
      </c>
      <c r="K22" s="346">
        <v>1</v>
      </c>
      <c r="L22" s="346">
        <v>1</v>
      </c>
      <c r="M22" s="346">
        <v>1</v>
      </c>
    </row>
    <row r="23" spans="4:17" ht="18" customHeight="1">
      <c r="D23" s="691">
        <v>3</v>
      </c>
      <c r="E23" s="6" t="s">
        <v>510</v>
      </c>
      <c r="F23" s="6" t="s">
        <v>521</v>
      </c>
      <c r="G23" s="40" t="s">
        <v>522</v>
      </c>
      <c r="H23" s="346">
        <v>1</v>
      </c>
      <c r="I23" s="346">
        <v>1</v>
      </c>
      <c r="J23" s="346">
        <v>1</v>
      </c>
      <c r="K23" s="346">
        <v>1</v>
      </c>
      <c r="L23" s="346">
        <v>1</v>
      </c>
      <c r="M23" s="346">
        <v>1</v>
      </c>
    </row>
    <row r="24" spans="4:17" ht="18" customHeight="1">
      <c r="D24" s="691">
        <v>4</v>
      </c>
      <c r="E24" s="6" t="s">
        <v>510</v>
      </c>
      <c r="F24" s="6" t="s">
        <v>523</v>
      </c>
      <c r="G24" s="40" t="s">
        <v>522</v>
      </c>
      <c r="H24" s="346">
        <v>1</v>
      </c>
      <c r="I24" s="346">
        <v>1</v>
      </c>
      <c r="J24" s="346">
        <v>1</v>
      </c>
      <c r="K24" s="346">
        <v>1</v>
      </c>
      <c r="L24" s="346">
        <v>1</v>
      </c>
      <c r="M24" s="346">
        <v>1</v>
      </c>
    </row>
    <row r="27" spans="4:17" ht="18" customHeight="1">
      <c r="D27" s="3" t="s">
        <v>2219</v>
      </c>
    </row>
    <row r="28" spans="4:17" ht="18" customHeight="1">
      <c r="D28" s="885" t="s">
        <v>503</v>
      </c>
      <c r="E28" s="885" t="s">
        <v>504</v>
      </c>
      <c r="F28" s="885" t="s">
        <v>505</v>
      </c>
      <c r="G28" s="885" t="s">
        <v>506</v>
      </c>
      <c r="H28" s="885" t="s">
        <v>507</v>
      </c>
      <c r="I28" s="885"/>
      <c r="J28" s="885" t="s">
        <v>508</v>
      </c>
      <c r="K28" s="885"/>
      <c r="L28" s="885" t="s">
        <v>1851</v>
      </c>
      <c r="M28" s="885"/>
      <c r="N28" s="885" t="s">
        <v>2057</v>
      </c>
      <c r="O28" s="885"/>
      <c r="P28" s="885" t="s">
        <v>2218</v>
      </c>
      <c r="Q28" s="885"/>
    </row>
    <row r="29" spans="4:17" ht="18" customHeight="1">
      <c r="D29" s="885"/>
      <c r="E29" s="885"/>
      <c r="F29" s="885"/>
      <c r="G29" s="885"/>
      <c r="H29" s="718" t="s">
        <v>509</v>
      </c>
      <c r="I29" s="718" t="s">
        <v>501</v>
      </c>
      <c r="J29" s="718" t="s">
        <v>509</v>
      </c>
      <c r="K29" s="718" t="s">
        <v>501</v>
      </c>
      <c r="L29" s="718" t="s">
        <v>509</v>
      </c>
      <c r="M29" s="718" t="s">
        <v>501</v>
      </c>
      <c r="N29" s="718" t="s">
        <v>509</v>
      </c>
      <c r="O29" s="718" t="s">
        <v>501</v>
      </c>
      <c r="P29" s="828" t="s">
        <v>509</v>
      </c>
      <c r="Q29" s="828" t="s">
        <v>501</v>
      </c>
    </row>
    <row r="30" spans="4:17" ht="18" customHeight="1">
      <c r="D30" s="691">
        <v>1</v>
      </c>
      <c r="E30" s="6" t="s">
        <v>15</v>
      </c>
      <c r="F30" s="6" t="s">
        <v>510</v>
      </c>
      <c r="G30" s="40" t="s">
        <v>511</v>
      </c>
      <c r="H30" s="346">
        <v>1</v>
      </c>
      <c r="I30" s="346">
        <v>1</v>
      </c>
      <c r="J30" s="346">
        <v>1</v>
      </c>
      <c r="K30" s="346">
        <v>1</v>
      </c>
      <c r="L30" s="346">
        <v>1</v>
      </c>
      <c r="M30" s="346">
        <v>1</v>
      </c>
      <c r="N30" s="346">
        <v>1</v>
      </c>
      <c r="O30" s="346">
        <v>1</v>
      </c>
      <c r="P30" s="346">
        <v>1</v>
      </c>
      <c r="Q30" s="346">
        <v>1</v>
      </c>
    </row>
    <row r="31" spans="4:17" ht="18" customHeight="1">
      <c r="D31" s="691">
        <v>2</v>
      </c>
      <c r="E31" s="6" t="s">
        <v>15</v>
      </c>
      <c r="F31" s="6" t="s">
        <v>516</v>
      </c>
      <c r="G31" s="40" t="s">
        <v>515</v>
      </c>
      <c r="H31" s="346">
        <v>1</v>
      </c>
      <c r="I31" s="346">
        <v>1</v>
      </c>
      <c r="J31" s="346">
        <v>1</v>
      </c>
      <c r="K31" s="346">
        <v>1</v>
      </c>
      <c r="L31" s="346">
        <v>1</v>
      </c>
      <c r="M31" s="346">
        <v>1</v>
      </c>
      <c r="N31" s="346">
        <v>1</v>
      </c>
      <c r="O31" s="346">
        <v>1</v>
      </c>
      <c r="P31" s="346">
        <v>1</v>
      </c>
      <c r="Q31" s="346">
        <v>1</v>
      </c>
    </row>
    <row r="32" spans="4:17" ht="18" customHeight="1">
      <c r="D32" s="691">
        <v>3</v>
      </c>
      <c r="E32" s="6" t="s">
        <v>510</v>
      </c>
      <c r="F32" s="6" t="s">
        <v>521</v>
      </c>
      <c r="G32" s="40" t="s">
        <v>522</v>
      </c>
      <c r="H32" s="346">
        <v>1</v>
      </c>
      <c r="I32" s="346">
        <v>1</v>
      </c>
      <c r="J32" s="346">
        <v>1</v>
      </c>
      <c r="K32" s="346">
        <v>1</v>
      </c>
      <c r="L32" s="346">
        <v>1</v>
      </c>
      <c r="M32" s="346">
        <v>1</v>
      </c>
      <c r="N32" s="346">
        <v>1</v>
      </c>
      <c r="O32" s="346">
        <v>1</v>
      </c>
      <c r="P32" s="346">
        <v>1</v>
      </c>
      <c r="Q32" s="346">
        <v>1</v>
      </c>
    </row>
    <row r="33" spans="4:17" ht="18" customHeight="1">
      <c r="D33" s="691">
        <v>4</v>
      </c>
      <c r="E33" s="6" t="s">
        <v>510</v>
      </c>
      <c r="F33" s="6" t="s">
        <v>523</v>
      </c>
      <c r="G33" s="40" t="s">
        <v>522</v>
      </c>
      <c r="H33" s="346">
        <v>1</v>
      </c>
      <c r="I33" s="346">
        <v>1</v>
      </c>
      <c r="J33" s="346">
        <v>1</v>
      </c>
      <c r="K33" s="346">
        <v>1</v>
      </c>
      <c r="L33" s="346">
        <v>1</v>
      </c>
      <c r="M33" s="346">
        <v>1</v>
      </c>
      <c r="N33" s="346">
        <v>1</v>
      </c>
      <c r="O33" s="346">
        <v>1</v>
      </c>
      <c r="P33" s="346">
        <v>1</v>
      </c>
      <c r="Q33" s="346">
        <v>1</v>
      </c>
    </row>
  </sheetData>
  <mergeCells count="23">
    <mergeCell ref="L28:M28"/>
    <mergeCell ref="N28:O28"/>
    <mergeCell ref="D28:D29"/>
    <mergeCell ref="E28:E29"/>
    <mergeCell ref="F28:F29"/>
    <mergeCell ref="G28:G29"/>
    <mergeCell ref="H28:I28"/>
    <mergeCell ref="P28:Q28"/>
    <mergeCell ref="J3:K3"/>
    <mergeCell ref="L3:M3"/>
    <mergeCell ref="D3:D4"/>
    <mergeCell ref="E3:E4"/>
    <mergeCell ref="F3:F4"/>
    <mergeCell ref="G3:G4"/>
    <mergeCell ref="H3:I3"/>
    <mergeCell ref="J19:K19"/>
    <mergeCell ref="L19:M19"/>
    <mergeCell ref="D19:D20"/>
    <mergeCell ref="E19:E20"/>
    <mergeCell ref="F19:F20"/>
    <mergeCell ref="G19:G20"/>
    <mergeCell ref="H19:I19"/>
    <mergeCell ref="J28:K28"/>
  </mergeCells>
  <phoneticPr fontId="20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tabColor rgb="FFFFFF00"/>
  </sheetPr>
  <dimension ref="D3:AF312"/>
  <sheetViews>
    <sheetView showGridLines="0" zoomScaleNormal="100" workbookViewId="0">
      <pane xSplit="5" ySplit="4" topLeftCell="F8" activePane="bottomRight" state="frozen"/>
      <selection activeCell="J13" sqref="J13"/>
      <selection pane="topRight" activeCell="J13" sqref="J13"/>
      <selection pane="bottomLeft" activeCell="J13" sqref="J13"/>
      <selection pane="bottomRight" activeCell="K39" sqref="K39"/>
    </sheetView>
  </sheetViews>
  <sheetFormatPr defaultColWidth="8.75" defaultRowHeight="18" customHeight="1"/>
  <cols>
    <col min="1" max="3" width="2.375" style="5" customWidth="1"/>
    <col min="4" max="4" width="20.375" style="5" customWidth="1"/>
    <col min="5" max="5" width="32.375" style="5" bestFit="1" customWidth="1"/>
    <col min="6" max="8" width="20.375" style="5" customWidth="1"/>
    <col min="9" max="9" width="3.375" style="5" customWidth="1"/>
    <col min="10" max="10" width="8.875" style="466" bestFit="1" customWidth="1"/>
    <col min="11" max="11" width="14.125" style="5" customWidth="1"/>
    <col min="12" max="13" width="13.75" style="5" bestFit="1" customWidth="1"/>
    <col min="14" max="14" width="13.875" style="5" customWidth="1"/>
    <col min="15" max="15" width="3.125" style="5" customWidth="1"/>
    <col min="16" max="16" width="4.875" style="5" customWidth="1"/>
    <col min="17" max="17" width="25.125" style="5" bestFit="1" customWidth="1"/>
    <col min="18" max="18" width="15.25" style="5" bestFit="1" customWidth="1"/>
    <col min="19" max="22" width="1.125" style="5" customWidth="1"/>
    <col min="23" max="23" width="11.625" style="825" bestFit="1" customWidth="1"/>
    <col min="24" max="24" width="8.75" style="5"/>
    <col min="25" max="25" width="10.25" style="5" bestFit="1" customWidth="1"/>
    <col min="26" max="26" width="15.875" style="5" customWidth="1"/>
    <col min="27" max="27" width="25.5" style="5" bestFit="1" customWidth="1"/>
    <col min="28" max="28" width="12.25" style="5" bestFit="1" customWidth="1"/>
    <col min="29" max="30" width="13" style="5" bestFit="1" customWidth="1"/>
    <col min="31" max="31" width="12.25" style="5" bestFit="1" customWidth="1"/>
    <col min="32" max="32" width="13" style="5" bestFit="1" customWidth="1"/>
    <col min="33" max="16384" width="8.75" style="5"/>
  </cols>
  <sheetData>
    <row r="3" spans="4:32" ht="18" customHeight="1" thickBot="1">
      <c r="D3" s="26" t="s">
        <v>408</v>
      </c>
      <c r="F3" s="5" t="b">
        <f>F206+F312=L3</f>
        <v>1</v>
      </c>
      <c r="G3" s="5" t="b">
        <f>G206+G312=M3</f>
        <v>1</v>
      </c>
      <c r="H3" s="5">
        <f>SUM(H4:H205)</f>
        <v>0</v>
      </c>
      <c r="L3" s="5">
        <f>SUM(L5:L302)</f>
        <v>1424145125</v>
      </c>
      <c r="M3" s="5">
        <f>SUM(M5:M302)</f>
        <v>1424145125</v>
      </c>
    </row>
    <row r="4" spans="4:32" ht="18" customHeight="1">
      <c r="D4" s="467" t="s">
        <v>16</v>
      </c>
      <c r="E4" s="468" t="s">
        <v>19</v>
      </c>
      <c r="F4" s="468" t="s">
        <v>405</v>
      </c>
      <c r="G4" s="468" t="s">
        <v>406</v>
      </c>
      <c r="H4" s="469" t="s">
        <v>407</v>
      </c>
      <c r="J4" s="470" t="s">
        <v>16</v>
      </c>
      <c r="K4" s="468" t="s">
        <v>1888</v>
      </c>
      <c r="L4" s="468" t="s">
        <v>2053</v>
      </c>
      <c r="M4" s="468" t="s">
        <v>2054</v>
      </c>
      <c r="N4" s="468" t="s">
        <v>1879</v>
      </c>
      <c r="P4" s="471" t="s">
        <v>1606</v>
      </c>
      <c r="Q4" s="471" t="s">
        <v>1607</v>
      </c>
      <c r="R4" s="471" t="s">
        <v>542</v>
      </c>
      <c r="S4" s="471" t="s">
        <v>1609</v>
      </c>
      <c r="T4" s="471" t="s">
        <v>1610</v>
      </c>
      <c r="U4" s="471" t="s">
        <v>1611</v>
      </c>
      <c r="V4" s="471" t="s">
        <v>1612</v>
      </c>
      <c r="W4" s="826" t="s">
        <v>1613</v>
      </c>
      <c r="Y4" s="858" t="s">
        <v>1606</v>
      </c>
      <c r="Z4" s="858" t="s">
        <v>1607</v>
      </c>
      <c r="AA4" s="858" t="s">
        <v>542</v>
      </c>
      <c r="AB4" s="858" t="s">
        <v>1609</v>
      </c>
      <c r="AC4" s="858" t="s">
        <v>1610</v>
      </c>
      <c r="AD4" s="858" t="s">
        <v>1611</v>
      </c>
      <c r="AE4" s="858" t="s">
        <v>1612</v>
      </c>
      <c r="AF4" s="858" t="s">
        <v>1613</v>
      </c>
    </row>
    <row r="5" spans="4:32" ht="18" customHeight="1">
      <c r="D5" s="472"/>
      <c r="E5" s="473" t="s">
        <v>0</v>
      </c>
      <c r="F5" s="473"/>
      <c r="G5" s="473"/>
      <c r="H5" s="474"/>
      <c r="J5" s="475">
        <v>111731</v>
      </c>
      <c r="K5" s="7" t="s">
        <v>26</v>
      </c>
      <c r="L5" s="7"/>
      <c r="M5" s="476">
        <f>+W5</f>
        <v>20672000</v>
      </c>
      <c r="N5" s="7" t="s">
        <v>15</v>
      </c>
      <c r="P5" s="477"/>
      <c r="Q5" s="793" t="s">
        <v>1618</v>
      </c>
      <c r="R5" s="793" t="s">
        <v>26</v>
      </c>
      <c r="S5" s="793" t="s">
        <v>1620</v>
      </c>
      <c r="T5" s="792">
        <v>21998200</v>
      </c>
      <c r="U5" s="792">
        <v>6469500</v>
      </c>
      <c r="V5" s="792">
        <v>5654400</v>
      </c>
      <c r="W5" s="841">
        <f t="shared" ref="W5:W15" si="0">SUMIFS(AF:AF,Z:Z,Q:Q,AA:AA,R:R)</f>
        <v>20672000</v>
      </c>
      <c r="Y5" s="859" t="s">
        <v>1617</v>
      </c>
      <c r="Z5" s="859" t="s">
        <v>1618</v>
      </c>
      <c r="AA5" s="859" t="s">
        <v>22</v>
      </c>
      <c r="AB5" s="859" t="s">
        <v>1620</v>
      </c>
      <c r="AC5" s="860">
        <v>-128173451</v>
      </c>
      <c r="AD5" s="860">
        <v>0</v>
      </c>
      <c r="AE5" s="860">
        <v>0</v>
      </c>
      <c r="AF5" s="860">
        <v>-128173451</v>
      </c>
    </row>
    <row r="6" spans="4:32" ht="18" customHeight="1">
      <c r="D6" s="478"/>
      <c r="E6" s="479" t="s">
        <v>20</v>
      </c>
      <c r="F6" s="479"/>
      <c r="G6" s="479"/>
      <c r="H6" s="480"/>
      <c r="J6" s="481">
        <v>211121</v>
      </c>
      <c r="K6" s="482" t="s">
        <v>139</v>
      </c>
      <c r="L6" s="482">
        <f>+M5</f>
        <v>20672000</v>
      </c>
      <c r="M6" s="482"/>
      <c r="N6" s="482" t="s">
        <v>1618</v>
      </c>
      <c r="P6" s="477"/>
      <c r="Q6" s="793" t="s">
        <v>1622</v>
      </c>
      <c r="R6" s="793" t="s">
        <v>139</v>
      </c>
      <c r="S6" s="793" t="s">
        <v>1624</v>
      </c>
      <c r="T6" s="792">
        <v>822564121</v>
      </c>
      <c r="U6" s="792">
        <v>497494558</v>
      </c>
      <c r="V6" s="792">
        <v>357036598</v>
      </c>
      <c r="W6" s="842">
        <f t="shared" si="0"/>
        <v>368762950</v>
      </c>
      <c r="Y6" s="859" t="s">
        <v>1617</v>
      </c>
      <c r="Z6" s="859" t="s">
        <v>1618</v>
      </c>
      <c r="AA6" s="859" t="s">
        <v>26</v>
      </c>
      <c r="AB6" s="859" t="s">
        <v>1620</v>
      </c>
      <c r="AC6" s="860">
        <v>21998200</v>
      </c>
      <c r="AD6" s="860">
        <v>5120500</v>
      </c>
      <c r="AE6" s="860">
        <v>6446700</v>
      </c>
      <c r="AF6" s="857">
        <v>20672000</v>
      </c>
    </row>
    <row r="7" spans="4:32" ht="18" customHeight="1">
      <c r="D7" s="483"/>
      <c r="E7" s="484" t="s">
        <v>1</v>
      </c>
      <c r="F7" s="484"/>
      <c r="G7" s="484"/>
      <c r="H7" s="485"/>
      <c r="J7" s="486">
        <v>111731</v>
      </c>
      <c r="K7" s="487" t="s">
        <v>26</v>
      </c>
      <c r="L7" s="487"/>
      <c r="M7" s="487">
        <f>+L8</f>
        <v>368762950</v>
      </c>
      <c r="N7" s="487" t="s">
        <v>1622</v>
      </c>
      <c r="P7" s="477"/>
      <c r="Q7" s="793" t="s">
        <v>1632</v>
      </c>
      <c r="R7" s="793" t="s">
        <v>318</v>
      </c>
      <c r="S7" s="793" t="s">
        <v>1620</v>
      </c>
      <c r="T7" s="792">
        <v>0</v>
      </c>
      <c r="U7" s="792">
        <v>0</v>
      </c>
      <c r="V7" s="792">
        <v>-3933393</v>
      </c>
      <c r="W7" s="842">
        <f t="shared" si="0"/>
        <v>-3933393</v>
      </c>
      <c r="Y7" s="859" t="s">
        <v>1617</v>
      </c>
      <c r="Z7" s="859" t="s">
        <v>1618</v>
      </c>
      <c r="AA7" s="859" t="s">
        <v>527</v>
      </c>
      <c r="AB7" s="859" t="s">
        <v>1620</v>
      </c>
      <c r="AC7" s="860">
        <v>9773508262</v>
      </c>
      <c r="AD7" s="860">
        <v>0</v>
      </c>
      <c r="AE7" s="860">
        <v>0</v>
      </c>
      <c r="AF7" s="860">
        <v>9773508262</v>
      </c>
    </row>
    <row r="8" spans="4:32" ht="18" customHeight="1">
      <c r="D8" s="488">
        <v>111151</v>
      </c>
      <c r="E8" s="5" t="s">
        <v>21</v>
      </c>
      <c r="F8" s="5">
        <f>SUMIF($J:$J,$D8,L:L)</f>
        <v>0</v>
      </c>
      <c r="G8" s="5">
        <f>SUMIF($J:$J,$D8,M:M)</f>
        <v>0</v>
      </c>
      <c r="H8" s="489">
        <f>F8-G8</f>
        <v>0</v>
      </c>
      <c r="J8" s="481">
        <v>211121</v>
      </c>
      <c r="K8" s="482" t="s">
        <v>139</v>
      </c>
      <c r="L8" s="490">
        <f>+W6</f>
        <v>368762950</v>
      </c>
      <c r="M8" s="482"/>
      <c r="N8" s="482" t="s">
        <v>15</v>
      </c>
      <c r="P8" s="477"/>
      <c r="Q8" s="793" t="s">
        <v>516</v>
      </c>
      <c r="R8" s="793" t="s">
        <v>24</v>
      </c>
      <c r="S8" s="793" t="s">
        <v>1620</v>
      </c>
      <c r="T8" s="792">
        <v>0</v>
      </c>
      <c r="U8" s="792">
        <v>57500000</v>
      </c>
      <c r="V8" s="792">
        <v>0</v>
      </c>
      <c r="W8" s="842">
        <f t="shared" si="0"/>
        <v>57500000</v>
      </c>
      <c r="Y8" s="859" t="s">
        <v>1617</v>
      </c>
      <c r="Z8" s="859" t="s">
        <v>1618</v>
      </c>
      <c r="AA8" s="859" t="s">
        <v>81</v>
      </c>
      <c r="AB8" s="859" t="s">
        <v>1620</v>
      </c>
      <c r="AC8" s="860">
        <v>6887763154</v>
      </c>
      <c r="AD8" s="860">
        <v>30125514346</v>
      </c>
      <c r="AE8" s="860">
        <v>0</v>
      </c>
      <c r="AF8" s="860">
        <v>37013277500</v>
      </c>
    </row>
    <row r="9" spans="4:32" ht="18" customHeight="1">
      <c r="D9" s="488">
        <v>111171</v>
      </c>
      <c r="E9" s="5" t="s">
        <v>22</v>
      </c>
      <c r="F9" s="5">
        <f>SUMIF($J:$J,$D9,L:L)</f>
        <v>0</v>
      </c>
      <c r="G9" s="5">
        <f>SUMIF($J:$J,$D9,M:M)</f>
        <v>0</v>
      </c>
      <c r="H9" s="489">
        <f>F9-G9</f>
        <v>0</v>
      </c>
      <c r="J9" s="486">
        <v>111711</v>
      </c>
      <c r="K9" s="487" t="s">
        <v>24</v>
      </c>
      <c r="L9" s="487"/>
      <c r="M9" s="491">
        <f>+W8</f>
        <v>57500000</v>
      </c>
      <c r="N9" s="487" t="s">
        <v>15</v>
      </c>
      <c r="P9" s="477"/>
      <c r="Q9" s="793" t="s">
        <v>516</v>
      </c>
      <c r="R9" s="793" t="s">
        <v>26</v>
      </c>
      <c r="S9" s="793" t="s">
        <v>1620</v>
      </c>
      <c r="T9" s="792">
        <v>0</v>
      </c>
      <c r="U9" s="792">
        <v>422427045</v>
      </c>
      <c r="V9" s="792">
        <v>341693178</v>
      </c>
      <c r="W9" s="842">
        <f t="shared" si="0"/>
        <v>74346304</v>
      </c>
      <c r="Y9" s="859" t="s">
        <v>1617</v>
      </c>
      <c r="Z9" s="859" t="s">
        <v>1618</v>
      </c>
      <c r="AA9" s="859" t="s">
        <v>2249</v>
      </c>
      <c r="AB9" s="859" t="s">
        <v>1620</v>
      </c>
      <c r="AC9" s="860">
        <v>-1401597960</v>
      </c>
      <c r="AD9" s="860">
        <v>0</v>
      </c>
      <c r="AE9" s="860">
        <v>35611679540</v>
      </c>
      <c r="AF9" s="860">
        <v>-37013277500</v>
      </c>
    </row>
    <row r="10" spans="4:32" ht="18" customHeight="1">
      <c r="D10" s="483"/>
      <c r="E10" s="484" t="s">
        <v>23</v>
      </c>
      <c r="F10" s="484"/>
      <c r="G10" s="484"/>
      <c r="H10" s="485"/>
      <c r="J10" s="481">
        <v>213150</v>
      </c>
      <c r="K10" s="482" t="s">
        <v>145</v>
      </c>
      <c r="L10" s="482">
        <f>+M9</f>
        <v>57500000</v>
      </c>
      <c r="M10" s="482"/>
      <c r="N10" s="482" t="s">
        <v>516</v>
      </c>
      <c r="P10" s="477"/>
      <c r="Q10" s="793" t="s">
        <v>516</v>
      </c>
      <c r="R10" s="793" t="s">
        <v>1604</v>
      </c>
      <c r="S10" s="793" t="s">
        <v>1620</v>
      </c>
      <c r="T10" s="792">
        <v>0</v>
      </c>
      <c r="U10" s="792">
        <v>711965000</v>
      </c>
      <c r="V10" s="792">
        <v>153940000</v>
      </c>
      <c r="W10" s="842">
        <f t="shared" si="0"/>
        <v>527130000</v>
      </c>
      <c r="Y10" s="859" t="s">
        <v>1621</v>
      </c>
      <c r="Z10" s="859" t="s">
        <v>1622</v>
      </c>
      <c r="AA10" s="859" t="s">
        <v>21</v>
      </c>
      <c r="AB10" s="859" t="s">
        <v>1624</v>
      </c>
      <c r="AC10" s="860">
        <v>-10690187</v>
      </c>
      <c r="AD10" s="860">
        <v>0</v>
      </c>
      <c r="AE10" s="860">
        <v>0</v>
      </c>
      <c r="AF10" s="860">
        <v>-10690187</v>
      </c>
    </row>
    <row r="11" spans="4:32" ht="18" customHeight="1">
      <c r="D11" s="488">
        <v>111711</v>
      </c>
      <c r="E11" s="5" t="s">
        <v>24</v>
      </c>
      <c r="F11" s="5">
        <f t="shared" ref="F11:F26" si="1">SUMIF($J:$J,$D11,L:L)</f>
        <v>0</v>
      </c>
      <c r="G11" s="5">
        <f t="shared" ref="G11:G26" si="2">SUMIF($J:$J,$D11,M:M)</f>
        <v>57500000</v>
      </c>
      <c r="H11" s="489">
        <f t="shared" ref="H11:H26" si="3">F11-G11</f>
        <v>-57500000</v>
      </c>
      <c r="J11" s="486">
        <v>111731</v>
      </c>
      <c r="K11" s="487" t="s">
        <v>26</v>
      </c>
      <c r="L11" s="487"/>
      <c r="M11" s="877">
        <f>W9</f>
        <v>74346304</v>
      </c>
      <c r="N11" s="487" t="s">
        <v>15</v>
      </c>
      <c r="P11" s="477"/>
      <c r="Q11" s="793" t="s">
        <v>516</v>
      </c>
      <c r="R11" s="793" t="s">
        <v>33</v>
      </c>
      <c r="S11" s="793" t="s">
        <v>1620</v>
      </c>
      <c r="T11" s="792">
        <v>0</v>
      </c>
      <c r="U11" s="792">
        <v>44554718</v>
      </c>
      <c r="V11" s="792">
        <v>12980056</v>
      </c>
      <c r="W11" s="861">
        <f t="shared" si="0"/>
        <v>29826534</v>
      </c>
      <c r="Y11" s="859" t="s">
        <v>1621</v>
      </c>
      <c r="Z11" s="859" t="s">
        <v>1622</v>
      </c>
      <c r="AA11" s="859" t="s">
        <v>22</v>
      </c>
      <c r="AB11" s="859" t="s">
        <v>1624</v>
      </c>
      <c r="AC11" s="860">
        <v>-7345571510</v>
      </c>
      <c r="AD11" s="860">
        <v>0</v>
      </c>
      <c r="AE11" s="860">
        <v>0</v>
      </c>
      <c r="AF11" s="860">
        <v>-7345571510</v>
      </c>
    </row>
    <row r="12" spans="4:32" ht="18" customHeight="1">
      <c r="D12" s="488">
        <v>111712</v>
      </c>
      <c r="E12" s="5" t="s">
        <v>25</v>
      </c>
      <c r="F12" s="5">
        <f t="shared" si="1"/>
        <v>0</v>
      </c>
      <c r="G12" s="5">
        <f t="shared" si="2"/>
        <v>0</v>
      </c>
      <c r="H12" s="489">
        <f t="shared" si="3"/>
        <v>0</v>
      </c>
      <c r="J12" s="14" t="s">
        <v>1976</v>
      </c>
      <c r="K12" s="6" t="s">
        <v>2254</v>
      </c>
      <c r="L12" s="7">
        <f>W17</f>
        <v>0</v>
      </c>
      <c r="M12" s="476"/>
      <c r="N12" s="487" t="s">
        <v>15</v>
      </c>
      <c r="P12" s="477"/>
      <c r="Q12" s="793" t="s">
        <v>516</v>
      </c>
      <c r="R12" s="793" t="s">
        <v>1945</v>
      </c>
      <c r="S12" s="793" t="s">
        <v>1620</v>
      </c>
      <c r="T12" s="792">
        <v>0</v>
      </c>
      <c r="U12" s="792">
        <v>44324676</v>
      </c>
      <c r="V12" s="792">
        <v>34647072</v>
      </c>
      <c r="W12" s="842">
        <f t="shared" si="0"/>
        <v>12497588</v>
      </c>
      <c r="Y12" s="859" t="s">
        <v>1621</v>
      </c>
      <c r="Z12" s="859" t="s">
        <v>1622</v>
      </c>
      <c r="AA12" s="859" t="s">
        <v>43</v>
      </c>
      <c r="AB12" s="859" t="s">
        <v>1624</v>
      </c>
      <c r="AC12" s="860">
        <v>8007136905</v>
      </c>
      <c r="AD12" s="860">
        <v>0</v>
      </c>
      <c r="AE12" s="860">
        <v>0</v>
      </c>
      <c r="AF12" s="860">
        <v>8007136905</v>
      </c>
    </row>
    <row r="13" spans="4:32" ht="18" customHeight="1">
      <c r="D13" s="492">
        <v>111731</v>
      </c>
      <c r="E13" s="493" t="s">
        <v>26</v>
      </c>
      <c r="F13" s="493">
        <f t="shared" si="1"/>
        <v>0</v>
      </c>
      <c r="G13" s="493">
        <f t="shared" si="2"/>
        <v>463781254</v>
      </c>
      <c r="H13" s="494">
        <f t="shared" si="3"/>
        <v>-463781254</v>
      </c>
      <c r="J13" s="14">
        <v>214250</v>
      </c>
      <c r="K13" s="6" t="s">
        <v>1950</v>
      </c>
      <c r="L13" s="7">
        <f>W16</f>
        <v>0</v>
      </c>
      <c r="M13" s="476"/>
      <c r="N13" s="487" t="s">
        <v>15</v>
      </c>
      <c r="P13" s="477"/>
      <c r="Q13" s="793" t="s">
        <v>516</v>
      </c>
      <c r="R13" s="793" t="s">
        <v>615</v>
      </c>
      <c r="S13" s="793" t="s">
        <v>1620</v>
      </c>
      <c r="T13" s="792">
        <v>0</v>
      </c>
      <c r="U13" s="792">
        <v>0</v>
      </c>
      <c r="V13" s="792">
        <v>85967916</v>
      </c>
      <c r="W13" s="842">
        <f t="shared" si="0"/>
        <v>101817233</v>
      </c>
      <c r="Y13" s="859" t="s">
        <v>1621</v>
      </c>
      <c r="Z13" s="859" t="s">
        <v>1622</v>
      </c>
      <c r="AA13" s="859" t="s">
        <v>47</v>
      </c>
      <c r="AB13" s="859" t="s">
        <v>1624</v>
      </c>
      <c r="AC13" s="860">
        <v>23264488</v>
      </c>
      <c r="AD13" s="860">
        <v>0</v>
      </c>
      <c r="AE13" s="860">
        <v>0</v>
      </c>
      <c r="AF13" s="860">
        <v>23264488</v>
      </c>
    </row>
    <row r="14" spans="4:32" ht="18" customHeight="1">
      <c r="D14" s="488">
        <v>111732</v>
      </c>
      <c r="E14" s="5" t="s">
        <v>27</v>
      </c>
      <c r="F14" s="5">
        <f t="shared" si="1"/>
        <v>0</v>
      </c>
      <c r="G14" s="5">
        <f t="shared" si="2"/>
        <v>0</v>
      </c>
      <c r="H14" s="489">
        <f t="shared" si="3"/>
        <v>0</v>
      </c>
      <c r="J14" s="481">
        <v>211121</v>
      </c>
      <c r="K14" s="482" t="s">
        <v>139</v>
      </c>
      <c r="L14" s="876">
        <f>M11-L12-L13</f>
        <v>74346304</v>
      </c>
      <c r="M14" s="482"/>
      <c r="N14" s="482" t="s">
        <v>516</v>
      </c>
      <c r="P14" s="477"/>
      <c r="Q14" s="793" t="s">
        <v>516</v>
      </c>
      <c r="R14" s="793" t="s">
        <v>620</v>
      </c>
      <c r="S14" s="793" t="s">
        <v>1620</v>
      </c>
      <c r="T14" s="792">
        <v>0</v>
      </c>
      <c r="U14" s="792">
        <v>0</v>
      </c>
      <c r="V14" s="792">
        <v>222095445</v>
      </c>
      <c r="W14" s="842">
        <f t="shared" si="0"/>
        <v>222095445</v>
      </c>
      <c r="Y14" s="859" t="s">
        <v>1621</v>
      </c>
      <c r="Z14" s="859" t="s">
        <v>1622</v>
      </c>
      <c r="AA14" s="859" t="s">
        <v>49</v>
      </c>
      <c r="AB14" s="859" t="s">
        <v>1624</v>
      </c>
      <c r="AC14" s="860">
        <v>47131726</v>
      </c>
      <c r="AD14" s="860">
        <v>0</v>
      </c>
      <c r="AE14" s="860">
        <v>0</v>
      </c>
      <c r="AF14" s="860">
        <v>47131726</v>
      </c>
    </row>
    <row r="15" spans="4:32" ht="18" customHeight="1">
      <c r="D15" s="488">
        <v>111761</v>
      </c>
      <c r="E15" s="5" t="s">
        <v>28</v>
      </c>
      <c r="F15" s="5">
        <f t="shared" si="1"/>
        <v>0</v>
      </c>
      <c r="G15" s="5">
        <f t="shared" si="2"/>
        <v>0</v>
      </c>
      <c r="H15" s="489">
        <f t="shared" si="3"/>
        <v>0</v>
      </c>
      <c r="J15" s="475">
        <v>111901</v>
      </c>
      <c r="K15" s="7" t="s">
        <v>1604</v>
      </c>
      <c r="L15" s="7"/>
      <c r="M15" s="476">
        <f>+W10</f>
        <v>527130000</v>
      </c>
      <c r="N15" s="7" t="s">
        <v>15</v>
      </c>
      <c r="P15" s="477"/>
      <c r="Q15" s="793" t="s">
        <v>516</v>
      </c>
      <c r="R15" s="793" t="s">
        <v>318</v>
      </c>
      <c r="S15" s="793" t="s">
        <v>1620</v>
      </c>
      <c r="T15" s="792">
        <v>0</v>
      </c>
      <c r="U15" s="792">
        <v>0</v>
      </c>
      <c r="V15" s="792">
        <v>9677604</v>
      </c>
      <c r="W15" s="842">
        <f t="shared" si="0"/>
        <v>12497588</v>
      </c>
      <c r="Y15" s="859" t="s">
        <v>1621</v>
      </c>
      <c r="Z15" s="859" t="s">
        <v>1622</v>
      </c>
      <c r="AA15" s="859" t="s">
        <v>51</v>
      </c>
      <c r="AB15" s="859" t="s">
        <v>1624</v>
      </c>
      <c r="AC15" s="860">
        <v>-367408945</v>
      </c>
      <c r="AD15" s="860">
        <v>0</v>
      </c>
      <c r="AE15" s="860">
        <v>0</v>
      </c>
      <c r="AF15" s="860">
        <v>-367408945</v>
      </c>
    </row>
    <row r="16" spans="4:32" ht="18" customHeight="1">
      <c r="D16" s="488">
        <v>111762</v>
      </c>
      <c r="E16" s="5" t="s">
        <v>29</v>
      </c>
      <c r="F16" s="5">
        <f t="shared" si="1"/>
        <v>0</v>
      </c>
      <c r="G16" s="5">
        <f t="shared" si="2"/>
        <v>0</v>
      </c>
      <c r="H16" s="489">
        <f t="shared" si="3"/>
        <v>0</v>
      </c>
      <c r="J16" s="481">
        <v>212500</v>
      </c>
      <c r="K16" s="482" t="s">
        <v>1603</v>
      </c>
      <c r="L16" s="482">
        <f>M15</f>
        <v>527130000</v>
      </c>
      <c r="M16" s="482"/>
      <c r="N16" s="482" t="s">
        <v>516</v>
      </c>
      <c r="Q16" s="793" t="s">
        <v>516</v>
      </c>
      <c r="R16" s="859" t="s">
        <v>1950</v>
      </c>
      <c r="W16" s="842"/>
      <c r="Y16" s="859" t="s">
        <v>1621</v>
      </c>
      <c r="Z16" s="859" t="s">
        <v>1622</v>
      </c>
      <c r="AA16" s="859" t="s">
        <v>139</v>
      </c>
      <c r="AB16" s="859" t="s">
        <v>1624</v>
      </c>
      <c r="AC16" s="860">
        <v>822564121</v>
      </c>
      <c r="AD16" s="860">
        <v>986172169</v>
      </c>
      <c r="AE16" s="860">
        <v>532370998</v>
      </c>
      <c r="AF16" s="857">
        <v>368762950</v>
      </c>
    </row>
    <row r="17" spans="4:32" ht="18" customHeight="1">
      <c r="D17" s="488">
        <v>111763</v>
      </c>
      <c r="E17" s="5" t="s">
        <v>30</v>
      </c>
      <c r="F17" s="5">
        <f t="shared" si="1"/>
        <v>0</v>
      </c>
      <c r="G17" s="5">
        <f t="shared" si="2"/>
        <v>0</v>
      </c>
      <c r="H17" s="489">
        <f t="shared" si="3"/>
        <v>0</v>
      </c>
      <c r="J17" s="475">
        <v>112113</v>
      </c>
      <c r="K17" s="7" t="s">
        <v>33</v>
      </c>
      <c r="L17" s="7"/>
      <c r="M17" s="476">
        <f>+W11</f>
        <v>29826534</v>
      </c>
      <c r="N17" s="7" t="s">
        <v>15</v>
      </c>
      <c r="Q17" s="793" t="s">
        <v>516</v>
      </c>
      <c r="R17" s="859" t="s">
        <v>2250</v>
      </c>
      <c r="W17" s="842"/>
      <c r="Y17" s="859" t="s">
        <v>1625</v>
      </c>
      <c r="Z17" s="859" t="s">
        <v>512</v>
      </c>
      <c r="AA17" s="859" t="s">
        <v>21</v>
      </c>
      <c r="AB17" s="859" t="s">
        <v>1620</v>
      </c>
      <c r="AC17" s="860">
        <v>295774241</v>
      </c>
      <c r="AD17" s="860">
        <v>0</v>
      </c>
      <c r="AE17" s="860">
        <v>0</v>
      </c>
      <c r="AF17" s="860">
        <v>295774241</v>
      </c>
    </row>
    <row r="18" spans="4:32" ht="18" customHeight="1">
      <c r="D18" s="488">
        <v>111911</v>
      </c>
      <c r="E18" s="5" t="s">
        <v>31</v>
      </c>
      <c r="F18" s="5">
        <f t="shared" si="1"/>
        <v>0</v>
      </c>
      <c r="G18" s="5">
        <f t="shared" si="2"/>
        <v>0</v>
      </c>
      <c r="H18" s="489">
        <f t="shared" si="3"/>
        <v>0</v>
      </c>
      <c r="J18" s="481">
        <v>213150</v>
      </c>
      <c r="K18" s="482" t="s">
        <v>145</v>
      </c>
      <c r="L18" s="482">
        <f>+M17</f>
        <v>29826534</v>
      </c>
      <c r="M18" s="482"/>
      <c r="N18" s="482" t="s">
        <v>516</v>
      </c>
      <c r="W18" s="825">
        <f>SUM(W5:W17)</f>
        <v>1423212249</v>
      </c>
      <c r="Y18" s="859" t="s">
        <v>1625</v>
      </c>
      <c r="Z18" s="859" t="s">
        <v>512</v>
      </c>
      <c r="AA18" s="859" t="s">
        <v>22</v>
      </c>
      <c r="AB18" s="859" t="s">
        <v>1620</v>
      </c>
      <c r="AC18" s="860">
        <v>12936505186</v>
      </c>
      <c r="AD18" s="860">
        <v>0</v>
      </c>
      <c r="AE18" s="860">
        <v>0</v>
      </c>
      <c r="AF18" s="860">
        <v>12936505186</v>
      </c>
    </row>
    <row r="19" spans="4:32" ht="18" customHeight="1">
      <c r="D19" s="492" t="s">
        <v>1798</v>
      </c>
      <c r="E19" s="493" t="s">
        <v>1604</v>
      </c>
      <c r="F19" s="493">
        <f t="shared" si="1"/>
        <v>0</v>
      </c>
      <c r="G19" s="493">
        <f t="shared" si="2"/>
        <v>527130000</v>
      </c>
      <c r="H19" s="494">
        <f t="shared" si="3"/>
        <v>-527130000</v>
      </c>
      <c r="J19" s="495">
        <v>112302</v>
      </c>
      <c r="K19" s="496" t="s">
        <v>1945</v>
      </c>
      <c r="L19" s="487"/>
      <c r="M19" s="491">
        <f>+W12</f>
        <v>12497588</v>
      </c>
      <c r="N19" s="487" t="s">
        <v>15</v>
      </c>
      <c r="Y19" s="859" t="s">
        <v>1625</v>
      </c>
      <c r="Z19" s="859" t="s">
        <v>512</v>
      </c>
      <c r="AA19" s="859" t="s">
        <v>179</v>
      </c>
      <c r="AB19" s="859" t="s">
        <v>1620</v>
      </c>
      <c r="AC19" s="860">
        <v>-36000</v>
      </c>
      <c r="AD19" s="860">
        <v>0</v>
      </c>
      <c r="AE19" s="860">
        <v>0</v>
      </c>
      <c r="AF19" s="860">
        <v>-36000</v>
      </c>
    </row>
    <row r="20" spans="4:32" ht="18" customHeight="1">
      <c r="D20" s="488">
        <v>112111</v>
      </c>
      <c r="E20" s="5" t="s">
        <v>32</v>
      </c>
      <c r="F20" s="5">
        <f t="shared" si="1"/>
        <v>0</v>
      </c>
      <c r="G20" s="5">
        <f t="shared" si="2"/>
        <v>0</v>
      </c>
      <c r="H20" s="489">
        <f t="shared" si="3"/>
        <v>0</v>
      </c>
      <c r="J20" s="481">
        <v>217200</v>
      </c>
      <c r="K20" s="482" t="s">
        <v>151</v>
      </c>
      <c r="L20" s="482">
        <f>+M19</f>
        <v>12497588</v>
      </c>
      <c r="M20" s="482"/>
      <c r="N20" s="482" t="s">
        <v>516</v>
      </c>
      <c r="Y20" s="859" t="s">
        <v>1625</v>
      </c>
      <c r="Z20" s="859" t="s">
        <v>512</v>
      </c>
      <c r="AA20" s="859" t="s">
        <v>527</v>
      </c>
      <c r="AB20" s="859" t="s">
        <v>1620</v>
      </c>
      <c r="AC20" s="860">
        <v>101649635</v>
      </c>
      <c r="AD20" s="860">
        <v>0</v>
      </c>
      <c r="AE20" s="860">
        <v>0</v>
      </c>
      <c r="AF20" s="860">
        <v>101649635</v>
      </c>
    </row>
    <row r="21" spans="4:32" ht="18" customHeight="1">
      <c r="D21" s="488">
        <v>112113</v>
      </c>
      <c r="E21" s="5" t="s">
        <v>33</v>
      </c>
      <c r="F21" s="5">
        <f t="shared" si="1"/>
        <v>0</v>
      </c>
      <c r="G21" s="5">
        <f t="shared" si="2"/>
        <v>29826534</v>
      </c>
      <c r="H21" s="489">
        <f t="shared" si="3"/>
        <v>-29826534</v>
      </c>
      <c r="Y21" s="859" t="s">
        <v>1631</v>
      </c>
      <c r="Z21" s="859" t="s">
        <v>1632</v>
      </c>
      <c r="AA21" s="859" t="s">
        <v>21</v>
      </c>
      <c r="AB21" s="859" t="s">
        <v>1620</v>
      </c>
      <c r="AC21" s="860">
        <v>-4104429103</v>
      </c>
      <c r="AD21" s="860">
        <v>0</v>
      </c>
      <c r="AE21" s="860">
        <v>0</v>
      </c>
      <c r="AF21" s="860">
        <v>-4104429103</v>
      </c>
    </row>
    <row r="22" spans="4:32" ht="18" customHeight="1">
      <c r="D22" s="488">
        <v>112115</v>
      </c>
      <c r="E22" s="5" t="s">
        <v>34</v>
      </c>
      <c r="F22" s="5">
        <f t="shared" si="1"/>
        <v>0</v>
      </c>
      <c r="G22" s="5">
        <f t="shared" si="2"/>
        <v>0</v>
      </c>
      <c r="H22" s="489">
        <f t="shared" si="3"/>
        <v>0</v>
      </c>
      <c r="J22" s="466">
        <v>410240</v>
      </c>
      <c r="K22" s="497" t="s">
        <v>620</v>
      </c>
      <c r="L22" s="498">
        <f>+W14</f>
        <v>222095445</v>
      </c>
      <c r="N22" s="5" t="s">
        <v>15</v>
      </c>
      <c r="Y22" s="859" t="s">
        <v>1631</v>
      </c>
      <c r="Z22" s="859" t="s">
        <v>1632</v>
      </c>
      <c r="AA22" s="859" t="s">
        <v>22</v>
      </c>
      <c r="AB22" s="859" t="s">
        <v>1620</v>
      </c>
      <c r="AC22" s="860">
        <v>-421169820</v>
      </c>
      <c r="AD22" s="860">
        <v>0</v>
      </c>
      <c r="AE22" s="860">
        <v>0</v>
      </c>
      <c r="AF22" s="860">
        <v>-421169820</v>
      </c>
    </row>
    <row r="23" spans="4:32" ht="18" customHeight="1">
      <c r="D23" s="488">
        <v>112116</v>
      </c>
      <c r="E23" s="5" t="s">
        <v>35</v>
      </c>
      <c r="F23" s="5">
        <f t="shared" si="1"/>
        <v>0</v>
      </c>
      <c r="G23" s="5">
        <f t="shared" si="2"/>
        <v>0</v>
      </c>
      <c r="H23" s="489">
        <f t="shared" si="3"/>
        <v>0</v>
      </c>
      <c r="J23" s="466">
        <v>420199</v>
      </c>
      <c r="K23" s="497" t="s">
        <v>242</v>
      </c>
      <c r="M23" s="5">
        <f>+L22</f>
        <v>222095445</v>
      </c>
      <c r="N23" s="5" t="s">
        <v>516</v>
      </c>
      <c r="Y23" s="859" t="s">
        <v>1631</v>
      </c>
      <c r="Z23" s="859" t="s">
        <v>1632</v>
      </c>
      <c r="AA23" s="859" t="s">
        <v>43</v>
      </c>
      <c r="AB23" s="859" t="s">
        <v>1620</v>
      </c>
      <c r="AC23" s="860">
        <v>29545830</v>
      </c>
      <c r="AD23" s="860">
        <v>0</v>
      </c>
      <c r="AE23" s="860">
        <v>0</v>
      </c>
      <c r="AF23" s="860">
        <v>29545830</v>
      </c>
    </row>
    <row r="24" spans="4:32" ht="18" customHeight="1">
      <c r="D24" s="488">
        <v>112300</v>
      </c>
      <c r="E24" s="5" t="s">
        <v>1944</v>
      </c>
      <c r="F24" s="5">
        <f t="shared" si="1"/>
        <v>0</v>
      </c>
      <c r="G24" s="5">
        <f t="shared" si="2"/>
        <v>0</v>
      </c>
      <c r="H24" s="489">
        <f t="shared" si="3"/>
        <v>0</v>
      </c>
      <c r="J24" s="486">
        <v>410130</v>
      </c>
      <c r="K24" s="499" t="s">
        <v>615</v>
      </c>
      <c r="L24" s="491">
        <f>+W13</f>
        <v>101817233</v>
      </c>
      <c r="M24" s="487"/>
      <c r="N24" s="487" t="s">
        <v>15</v>
      </c>
      <c r="Y24" s="859" t="s">
        <v>1631</v>
      </c>
      <c r="Z24" s="859" t="s">
        <v>1632</v>
      </c>
      <c r="AA24" s="859" t="s">
        <v>95</v>
      </c>
      <c r="AB24" s="859" t="s">
        <v>1620</v>
      </c>
      <c r="AC24" s="860">
        <v>992104</v>
      </c>
      <c r="AD24" s="860">
        <v>0</v>
      </c>
      <c r="AE24" s="860">
        <v>0</v>
      </c>
      <c r="AF24" s="860">
        <v>992104</v>
      </c>
    </row>
    <row r="25" spans="4:32" ht="18" customHeight="1">
      <c r="D25" s="488">
        <v>112302</v>
      </c>
      <c r="E25" s="5" t="s">
        <v>1945</v>
      </c>
      <c r="F25" s="5">
        <f t="shared" si="1"/>
        <v>0</v>
      </c>
      <c r="G25" s="5">
        <f t="shared" si="2"/>
        <v>12497588</v>
      </c>
      <c r="H25" s="489">
        <f>F25-G25</f>
        <v>-12497588</v>
      </c>
      <c r="J25" s="481">
        <v>420090</v>
      </c>
      <c r="K25" s="500" t="s">
        <v>240</v>
      </c>
      <c r="L25" s="482"/>
      <c r="M25" s="482">
        <f>+L24</f>
        <v>101817233</v>
      </c>
      <c r="N25" s="482" t="s">
        <v>516</v>
      </c>
      <c r="Y25" s="859" t="s">
        <v>1631</v>
      </c>
      <c r="Z25" s="859" t="s">
        <v>1632</v>
      </c>
      <c r="AA25" s="859" t="s">
        <v>318</v>
      </c>
      <c r="AB25" s="859" t="s">
        <v>1620</v>
      </c>
      <c r="AC25" s="860">
        <v>0</v>
      </c>
      <c r="AD25" s="860">
        <v>0</v>
      </c>
      <c r="AE25" s="860">
        <v>-3933393</v>
      </c>
      <c r="AF25" s="857">
        <v>-3933393</v>
      </c>
    </row>
    <row r="26" spans="4:32" ht="18" customHeight="1">
      <c r="D26" s="488">
        <v>113310</v>
      </c>
      <c r="E26" s="5" t="s">
        <v>37</v>
      </c>
      <c r="F26" s="5">
        <f t="shared" si="1"/>
        <v>0</v>
      </c>
      <c r="G26" s="5">
        <f t="shared" si="2"/>
        <v>0</v>
      </c>
      <c r="H26" s="489">
        <f t="shared" si="3"/>
        <v>0</v>
      </c>
      <c r="Y26" s="859" t="s">
        <v>1635</v>
      </c>
      <c r="Z26" s="859" t="s">
        <v>516</v>
      </c>
      <c r="AA26" s="859" t="s">
        <v>21</v>
      </c>
      <c r="AB26" s="859" t="s">
        <v>1620</v>
      </c>
      <c r="AC26" s="860">
        <v>-29999999995</v>
      </c>
      <c r="AD26" s="860">
        <v>0</v>
      </c>
      <c r="AE26" s="860">
        <v>0</v>
      </c>
      <c r="AF26" s="860">
        <v>-29999999995</v>
      </c>
    </row>
    <row r="27" spans="4:32" ht="18" customHeight="1">
      <c r="D27" s="501"/>
      <c r="E27" s="502" t="s">
        <v>38</v>
      </c>
      <c r="F27" s="484"/>
      <c r="G27" s="484"/>
      <c r="H27" s="485"/>
      <c r="J27" s="486">
        <v>731200</v>
      </c>
      <c r="K27" s="499" t="s">
        <v>337</v>
      </c>
      <c r="L27" s="487"/>
      <c r="M27" s="487">
        <f>+T_IS!J88</f>
        <v>9497071</v>
      </c>
      <c r="N27" s="487" t="s">
        <v>516</v>
      </c>
      <c r="O27" s="20" t="s">
        <v>2269</v>
      </c>
      <c r="Y27" s="859" t="s">
        <v>1635</v>
      </c>
      <c r="Z27" s="859" t="s">
        <v>516</v>
      </c>
      <c r="AA27" s="859" t="s">
        <v>24</v>
      </c>
      <c r="AB27" s="859" t="s">
        <v>1620</v>
      </c>
      <c r="AC27" s="860">
        <v>0</v>
      </c>
      <c r="AD27" s="860">
        <v>57500000</v>
      </c>
      <c r="AE27" s="860">
        <v>0</v>
      </c>
      <c r="AF27" s="857">
        <v>57500000</v>
      </c>
    </row>
    <row r="28" spans="4:32" ht="18" customHeight="1">
      <c r="D28" s="488">
        <v>111391</v>
      </c>
      <c r="E28" s="5" t="s">
        <v>39</v>
      </c>
      <c r="F28" s="5">
        <f t="shared" ref="F28:G31" si="4">SUMIF($J:$J,$D28,L:L)</f>
        <v>0</v>
      </c>
      <c r="G28" s="5">
        <f t="shared" si="4"/>
        <v>0</v>
      </c>
      <c r="H28" s="489">
        <f>F28-G28</f>
        <v>0</v>
      </c>
      <c r="J28" s="475" t="s">
        <v>321</v>
      </c>
      <c r="K28" s="695" t="s">
        <v>322</v>
      </c>
      <c r="L28" s="7"/>
      <c r="M28" s="7"/>
      <c r="N28" s="7"/>
      <c r="Y28" s="859" t="s">
        <v>1635</v>
      </c>
      <c r="Z28" s="859" t="s">
        <v>516</v>
      </c>
      <c r="AA28" s="859" t="s">
        <v>26</v>
      </c>
      <c r="AB28" s="859" t="s">
        <v>1620</v>
      </c>
      <c r="AC28" s="860">
        <v>0</v>
      </c>
      <c r="AD28" s="860">
        <v>463823778</v>
      </c>
      <c r="AE28" s="860">
        <v>375548354</v>
      </c>
      <c r="AF28" s="875">
        <v>74346304</v>
      </c>
    </row>
    <row r="29" spans="4:32" ht="18" customHeight="1">
      <c r="D29" s="488">
        <v>111410</v>
      </c>
      <c r="E29" s="5" t="s">
        <v>40</v>
      </c>
      <c r="F29" s="5">
        <f t="shared" si="4"/>
        <v>0</v>
      </c>
      <c r="G29" s="5">
        <f t="shared" si="4"/>
        <v>0</v>
      </c>
      <c r="H29" s="489">
        <f>F29-G29</f>
        <v>0</v>
      </c>
      <c r="J29" s="475" t="s">
        <v>342</v>
      </c>
      <c r="K29" s="695" t="s">
        <v>343</v>
      </c>
      <c r="L29" s="7">
        <f>+M27-L30</f>
        <v>932876</v>
      </c>
      <c r="M29" s="7"/>
      <c r="N29" s="7"/>
      <c r="Y29" s="859" t="s">
        <v>1635</v>
      </c>
      <c r="Z29" s="859" t="s">
        <v>516</v>
      </c>
      <c r="AA29" s="859" t="s">
        <v>1604</v>
      </c>
      <c r="AB29" s="859" t="s">
        <v>1620</v>
      </c>
      <c r="AC29" s="860">
        <v>0</v>
      </c>
      <c r="AD29" s="860">
        <v>807410000</v>
      </c>
      <c r="AE29" s="860">
        <v>280280000</v>
      </c>
      <c r="AF29" s="857">
        <v>527130000</v>
      </c>
    </row>
    <row r="30" spans="4:32" ht="18" customHeight="1">
      <c r="D30" s="503" t="s">
        <v>219</v>
      </c>
      <c r="E30" s="5" t="s">
        <v>41</v>
      </c>
      <c r="F30" s="5">
        <f t="shared" si="4"/>
        <v>0</v>
      </c>
      <c r="G30" s="5">
        <f t="shared" si="4"/>
        <v>0</v>
      </c>
      <c r="H30" s="489">
        <f>F30-G30</f>
        <v>0</v>
      </c>
      <c r="J30" s="481">
        <v>711191</v>
      </c>
      <c r="K30" s="500" t="s">
        <v>318</v>
      </c>
      <c r="L30" s="490">
        <f>+W7+W15</f>
        <v>8564195</v>
      </c>
      <c r="M30" s="482"/>
      <c r="N30" s="482" t="s">
        <v>15</v>
      </c>
      <c r="O30" s="20" t="s">
        <v>2270</v>
      </c>
      <c r="Y30" s="859" t="s">
        <v>1635</v>
      </c>
      <c r="Z30" s="859" t="s">
        <v>516</v>
      </c>
      <c r="AA30" s="859" t="s">
        <v>33</v>
      </c>
      <c r="AB30" s="859" t="s">
        <v>1620</v>
      </c>
      <c r="AC30" s="860">
        <v>0</v>
      </c>
      <c r="AD30" s="860">
        <v>50931608</v>
      </c>
      <c r="AE30" s="860">
        <v>21105074</v>
      </c>
      <c r="AF30" s="857">
        <v>29826534</v>
      </c>
    </row>
    <row r="31" spans="4:32" ht="18" customHeight="1">
      <c r="D31" s="503" t="s">
        <v>220</v>
      </c>
      <c r="E31" s="5" t="s">
        <v>42</v>
      </c>
      <c r="F31" s="5">
        <f t="shared" si="4"/>
        <v>0</v>
      </c>
      <c r="G31" s="5">
        <f t="shared" si="4"/>
        <v>0</v>
      </c>
      <c r="H31" s="489">
        <f>F31-G31</f>
        <v>0</v>
      </c>
      <c r="Y31" s="859" t="s">
        <v>1635</v>
      </c>
      <c r="Z31" s="859" t="s">
        <v>516</v>
      </c>
      <c r="AA31" s="859" t="s">
        <v>1945</v>
      </c>
      <c r="AB31" s="859" t="s">
        <v>1620</v>
      </c>
      <c r="AC31" s="860">
        <v>0</v>
      </c>
      <c r="AD31" s="860">
        <v>114949426</v>
      </c>
      <c r="AE31" s="860">
        <v>102451838</v>
      </c>
      <c r="AF31" s="857">
        <v>12497588</v>
      </c>
    </row>
    <row r="32" spans="4:32" ht="18" customHeight="1">
      <c r="D32" s="483"/>
      <c r="E32" s="484" t="s">
        <v>2</v>
      </c>
      <c r="F32" s="484"/>
      <c r="G32" s="484"/>
      <c r="H32" s="485"/>
      <c r="Y32" s="859" t="s">
        <v>1635</v>
      </c>
      <c r="Z32" s="859" t="s">
        <v>516</v>
      </c>
      <c r="AA32" s="859" t="s">
        <v>1950</v>
      </c>
      <c r="AB32" s="859" t="s">
        <v>1620</v>
      </c>
      <c r="AC32" s="860">
        <v>0</v>
      </c>
      <c r="AD32" s="860">
        <v>0</v>
      </c>
      <c r="AE32" s="860">
        <v>11586340</v>
      </c>
      <c r="AF32" s="862"/>
    </row>
    <row r="33" spans="4:32" ht="18" customHeight="1">
      <c r="D33" s="488">
        <v>115100</v>
      </c>
      <c r="E33" s="5" t="s">
        <v>43</v>
      </c>
      <c r="F33" s="5">
        <f t="shared" ref="F33:F41" si="5">SUMIF($J:$J,$D33,L:L)</f>
        <v>0</v>
      </c>
      <c r="G33" s="5">
        <f t="shared" ref="G33:G41" si="6">SUMIF($J:$J,$D33,M:M)</f>
        <v>0</v>
      </c>
      <c r="H33" s="489">
        <f t="shared" ref="H33:H41" si="7">F33-G33</f>
        <v>0</v>
      </c>
      <c r="Y33" s="859" t="s">
        <v>1635</v>
      </c>
      <c r="Z33" s="859" t="s">
        <v>516</v>
      </c>
      <c r="AA33" s="859" t="s">
        <v>2250</v>
      </c>
      <c r="AB33" s="859" t="s">
        <v>1620</v>
      </c>
      <c r="AC33" s="860">
        <v>0</v>
      </c>
      <c r="AD33" s="860">
        <v>304171157</v>
      </c>
      <c r="AE33" s="860">
        <v>306454571</v>
      </c>
      <c r="AF33" s="862"/>
    </row>
    <row r="34" spans="4:32" ht="18" customHeight="1">
      <c r="D34" s="488">
        <v>115170</v>
      </c>
      <c r="E34" s="5" t="s">
        <v>44</v>
      </c>
      <c r="F34" s="5">
        <f t="shared" si="5"/>
        <v>0</v>
      </c>
      <c r="G34" s="5">
        <f t="shared" si="6"/>
        <v>0</v>
      </c>
      <c r="H34" s="489">
        <f t="shared" si="7"/>
        <v>0</v>
      </c>
      <c r="Y34" s="859" t="s">
        <v>1635</v>
      </c>
      <c r="Z34" s="859" t="s">
        <v>516</v>
      </c>
      <c r="AA34" s="859" t="s">
        <v>615</v>
      </c>
      <c r="AB34" s="859" t="s">
        <v>1620</v>
      </c>
      <c r="AC34" s="860">
        <v>0</v>
      </c>
      <c r="AD34" s="860">
        <v>0</v>
      </c>
      <c r="AE34" s="860">
        <v>101817233</v>
      </c>
      <c r="AF34" s="860">
        <v>101817233</v>
      </c>
    </row>
    <row r="35" spans="4:32" ht="18" customHeight="1">
      <c r="D35" s="488">
        <v>115200</v>
      </c>
      <c r="E35" s="5" t="s">
        <v>45</v>
      </c>
      <c r="F35" s="5">
        <f t="shared" si="5"/>
        <v>0</v>
      </c>
      <c r="G35" s="5">
        <f t="shared" si="6"/>
        <v>0</v>
      </c>
      <c r="H35" s="489">
        <f t="shared" si="7"/>
        <v>0</v>
      </c>
      <c r="Y35" s="859" t="s">
        <v>1635</v>
      </c>
      <c r="Z35" s="859" t="s">
        <v>516</v>
      </c>
      <c r="AA35" s="859" t="s">
        <v>620</v>
      </c>
      <c r="AB35" s="859" t="s">
        <v>1620</v>
      </c>
      <c r="AC35" s="860">
        <v>0</v>
      </c>
      <c r="AD35" s="860">
        <v>0</v>
      </c>
      <c r="AE35" s="860">
        <v>222095445</v>
      </c>
      <c r="AF35" s="860">
        <v>222095445</v>
      </c>
    </row>
    <row r="36" spans="4:32" ht="18" customHeight="1">
      <c r="D36" s="488">
        <v>115270</v>
      </c>
      <c r="E36" s="5" t="s">
        <v>46</v>
      </c>
      <c r="F36" s="5">
        <f t="shared" si="5"/>
        <v>0</v>
      </c>
      <c r="G36" s="5">
        <f t="shared" si="6"/>
        <v>0</v>
      </c>
      <c r="H36" s="489">
        <f t="shared" si="7"/>
        <v>0</v>
      </c>
      <c r="Y36" s="859" t="s">
        <v>1635</v>
      </c>
      <c r="Z36" s="859" t="s">
        <v>516</v>
      </c>
      <c r="AA36" s="859" t="s">
        <v>318</v>
      </c>
      <c r="AB36" s="859" t="s">
        <v>1620</v>
      </c>
      <c r="AC36" s="860">
        <v>0</v>
      </c>
      <c r="AD36" s="860">
        <v>0</v>
      </c>
      <c r="AE36" s="860">
        <v>12497588</v>
      </c>
      <c r="AF36" s="860">
        <v>12497588</v>
      </c>
    </row>
    <row r="37" spans="4:32" ht="18" customHeight="1">
      <c r="D37" s="488">
        <v>115300</v>
      </c>
      <c r="E37" s="5" t="s">
        <v>47</v>
      </c>
      <c r="F37" s="5">
        <f t="shared" si="5"/>
        <v>0</v>
      </c>
      <c r="G37" s="5">
        <f t="shared" si="6"/>
        <v>0</v>
      </c>
      <c r="H37" s="489">
        <f t="shared" si="7"/>
        <v>0</v>
      </c>
      <c r="Y37" s="859" t="s">
        <v>1635</v>
      </c>
      <c r="Z37" s="859" t="s">
        <v>516</v>
      </c>
      <c r="AA37" s="859" t="s">
        <v>81</v>
      </c>
      <c r="AB37" s="859" t="s">
        <v>1620</v>
      </c>
      <c r="AC37" s="860">
        <v>59999999990</v>
      </c>
      <c r="AD37" s="860">
        <v>-24615330795</v>
      </c>
      <c r="AE37" s="860">
        <v>0</v>
      </c>
      <c r="AF37" s="860">
        <v>35384669195</v>
      </c>
    </row>
    <row r="38" spans="4:32" ht="18" customHeight="1">
      <c r="D38" s="488">
        <v>115350</v>
      </c>
      <c r="E38" s="5" t="s">
        <v>48</v>
      </c>
      <c r="F38" s="5">
        <f t="shared" si="5"/>
        <v>0</v>
      </c>
      <c r="G38" s="5">
        <f t="shared" si="6"/>
        <v>0</v>
      </c>
      <c r="H38" s="489">
        <f t="shared" si="7"/>
        <v>0</v>
      </c>
      <c r="Y38" s="859" t="s">
        <v>1635</v>
      </c>
      <c r="Z38" s="859" t="s">
        <v>516</v>
      </c>
      <c r="AA38" s="859" t="s">
        <v>2249</v>
      </c>
      <c r="AB38" s="859" t="s">
        <v>1620</v>
      </c>
      <c r="AC38" s="860">
        <v>-24071000000</v>
      </c>
      <c r="AD38" s="860">
        <v>0</v>
      </c>
      <c r="AE38" s="860">
        <v>5384669200</v>
      </c>
      <c r="AF38" s="860">
        <v>-29455669200</v>
      </c>
    </row>
    <row r="39" spans="4:32" ht="18" customHeight="1">
      <c r="D39" s="488">
        <v>115400</v>
      </c>
      <c r="E39" s="5" t="s">
        <v>49</v>
      </c>
      <c r="F39" s="5">
        <f t="shared" si="5"/>
        <v>0</v>
      </c>
      <c r="G39" s="5">
        <f t="shared" si="6"/>
        <v>0</v>
      </c>
      <c r="H39" s="489">
        <f t="shared" si="7"/>
        <v>0</v>
      </c>
      <c r="Y39" s="859" t="s">
        <v>2251</v>
      </c>
      <c r="Z39" s="859" t="s">
        <v>2252</v>
      </c>
      <c r="AA39" s="859" t="s">
        <v>21</v>
      </c>
      <c r="AB39" s="859" t="s">
        <v>1620</v>
      </c>
      <c r="AC39" s="860">
        <v>-198548000</v>
      </c>
      <c r="AD39" s="860">
        <v>0</v>
      </c>
      <c r="AE39" s="860">
        <v>0</v>
      </c>
      <c r="AF39" s="860">
        <v>-198548000</v>
      </c>
    </row>
    <row r="40" spans="4:32" ht="18" customHeight="1">
      <c r="D40" s="488">
        <v>115470</v>
      </c>
      <c r="E40" s="5" t="s">
        <v>50</v>
      </c>
      <c r="F40" s="5">
        <f t="shared" si="5"/>
        <v>0</v>
      </c>
      <c r="G40" s="5">
        <f t="shared" si="6"/>
        <v>0</v>
      </c>
      <c r="H40" s="489">
        <f t="shared" si="7"/>
        <v>0</v>
      </c>
      <c r="Y40" s="859"/>
      <c r="Z40" s="859"/>
      <c r="AA40" s="859" t="s">
        <v>428</v>
      </c>
      <c r="AB40" s="859"/>
      <c r="AC40" s="860">
        <v>23771866716</v>
      </c>
      <c r="AD40" s="860">
        <v>8300262189</v>
      </c>
      <c r="AE40" s="860">
        <v>42965069488</v>
      </c>
      <c r="AF40" s="860">
        <v>-11107849671</v>
      </c>
    </row>
    <row r="41" spans="4:32" ht="18" customHeight="1">
      <c r="D41" s="488">
        <v>115800</v>
      </c>
      <c r="E41" s="5" t="s">
        <v>51</v>
      </c>
      <c r="F41" s="5">
        <f t="shared" si="5"/>
        <v>0</v>
      </c>
      <c r="G41" s="5">
        <f t="shared" si="6"/>
        <v>0</v>
      </c>
      <c r="H41" s="489">
        <f t="shared" si="7"/>
        <v>0</v>
      </c>
    </row>
    <row r="42" spans="4:32" ht="18" customHeight="1">
      <c r="D42" s="483"/>
      <c r="E42" s="484" t="s">
        <v>3</v>
      </c>
      <c r="F42" s="484"/>
      <c r="G42" s="484"/>
      <c r="H42" s="485"/>
    </row>
    <row r="43" spans="4:32" ht="18" customHeight="1">
      <c r="D43" s="488">
        <v>113100</v>
      </c>
      <c r="E43" s="5" t="s">
        <v>52</v>
      </c>
      <c r="F43" s="5">
        <f t="shared" ref="F43:G46" si="8">SUMIF($J:$J,$D43,L:L)</f>
        <v>0</v>
      </c>
      <c r="G43" s="5">
        <f t="shared" si="8"/>
        <v>0</v>
      </c>
      <c r="H43" s="489">
        <f>F43-G43</f>
        <v>0</v>
      </c>
    </row>
    <row r="44" spans="4:32" ht="18" customHeight="1">
      <c r="D44" s="488">
        <v>113101</v>
      </c>
      <c r="E44" s="5" t="s">
        <v>53</v>
      </c>
      <c r="F44" s="5">
        <f t="shared" si="8"/>
        <v>0</v>
      </c>
      <c r="G44" s="5">
        <f t="shared" si="8"/>
        <v>0</v>
      </c>
      <c r="H44" s="489">
        <f>F44-G44</f>
        <v>0</v>
      </c>
    </row>
    <row r="45" spans="4:32" ht="18" customHeight="1">
      <c r="D45" s="488">
        <v>113160</v>
      </c>
      <c r="E45" s="5" t="s">
        <v>54</v>
      </c>
      <c r="F45" s="5">
        <f t="shared" si="8"/>
        <v>0</v>
      </c>
      <c r="G45" s="5">
        <f t="shared" si="8"/>
        <v>0</v>
      </c>
      <c r="H45" s="489">
        <f>F45-G45</f>
        <v>0</v>
      </c>
    </row>
    <row r="46" spans="4:32" ht="18" customHeight="1">
      <c r="D46" s="488">
        <v>113161</v>
      </c>
      <c r="E46" s="5" t="s">
        <v>55</v>
      </c>
      <c r="F46" s="5">
        <f t="shared" si="8"/>
        <v>0</v>
      </c>
      <c r="G46" s="5">
        <f t="shared" si="8"/>
        <v>0</v>
      </c>
      <c r="H46" s="489">
        <f>F46-G46</f>
        <v>0</v>
      </c>
    </row>
    <row r="47" spans="4:32" ht="18" customHeight="1">
      <c r="D47" s="483"/>
      <c r="E47" s="484" t="s">
        <v>4</v>
      </c>
      <c r="F47" s="484"/>
      <c r="G47" s="484"/>
      <c r="H47" s="485"/>
    </row>
    <row r="48" spans="4:32" ht="18" customHeight="1">
      <c r="D48" s="488">
        <v>112710</v>
      </c>
      <c r="E48" s="5" t="s">
        <v>56</v>
      </c>
      <c r="F48" s="5">
        <f t="shared" ref="F48:F60" si="9">SUMIF($J:$J,$D48,L:L)</f>
        <v>0</v>
      </c>
      <c r="G48" s="5">
        <f t="shared" ref="G48:G60" si="10">SUMIF($J:$J,$D48,M:M)</f>
        <v>0</v>
      </c>
      <c r="H48" s="489">
        <f t="shared" ref="H48:H60" si="11">F48-G48</f>
        <v>0</v>
      </c>
    </row>
    <row r="49" spans="4:8" ht="18" customHeight="1">
      <c r="D49" s="488">
        <v>112720</v>
      </c>
      <c r="E49" s="5" t="s">
        <v>57</v>
      </c>
      <c r="F49" s="5">
        <f t="shared" si="9"/>
        <v>0</v>
      </c>
      <c r="G49" s="5">
        <f t="shared" si="10"/>
        <v>0</v>
      </c>
      <c r="H49" s="489">
        <f t="shared" si="11"/>
        <v>0</v>
      </c>
    </row>
    <row r="50" spans="4:8" ht="18" customHeight="1">
      <c r="D50" s="488">
        <v>112730</v>
      </c>
      <c r="E50" s="5" t="s">
        <v>58</v>
      </c>
      <c r="F50" s="5">
        <f t="shared" si="9"/>
        <v>0</v>
      </c>
      <c r="G50" s="5">
        <f t="shared" si="10"/>
        <v>0</v>
      </c>
      <c r="H50" s="489">
        <f t="shared" si="11"/>
        <v>0</v>
      </c>
    </row>
    <row r="51" spans="4:8" ht="18" customHeight="1">
      <c r="D51" s="488">
        <v>113340</v>
      </c>
      <c r="E51" s="5" t="s">
        <v>59</v>
      </c>
      <c r="F51" s="5">
        <f t="shared" si="9"/>
        <v>0</v>
      </c>
      <c r="G51" s="5">
        <f t="shared" si="10"/>
        <v>0</v>
      </c>
      <c r="H51" s="489">
        <f t="shared" si="11"/>
        <v>0</v>
      </c>
    </row>
    <row r="52" spans="4:8" ht="18" customHeight="1">
      <c r="D52" s="488">
        <v>112511</v>
      </c>
      <c r="E52" s="5" t="s">
        <v>60</v>
      </c>
      <c r="F52" s="5">
        <f t="shared" si="9"/>
        <v>0</v>
      </c>
      <c r="G52" s="5">
        <f t="shared" si="10"/>
        <v>0</v>
      </c>
      <c r="H52" s="489">
        <f t="shared" si="11"/>
        <v>0</v>
      </c>
    </row>
    <row r="53" spans="4:8" ht="18" customHeight="1">
      <c r="D53" s="488">
        <v>112521</v>
      </c>
      <c r="E53" s="5" t="s">
        <v>61</v>
      </c>
      <c r="F53" s="5">
        <f t="shared" si="9"/>
        <v>0</v>
      </c>
      <c r="G53" s="5">
        <f t="shared" si="10"/>
        <v>0</v>
      </c>
      <c r="H53" s="489">
        <f t="shared" si="11"/>
        <v>0</v>
      </c>
    </row>
    <row r="54" spans="4:8" ht="18" customHeight="1">
      <c r="D54" s="488">
        <v>112522</v>
      </c>
      <c r="E54" s="5" t="s">
        <v>62</v>
      </c>
      <c r="F54" s="5">
        <f t="shared" si="9"/>
        <v>0</v>
      </c>
      <c r="G54" s="5">
        <f t="shared" si="10"/>
        <v>0</v>
      </c>
      <c r="H54" s="489">
        <f t="shared" si="11"/>
        <v>0</v>
      </c>
    </row>
    <row r="55" spans="4:8" ht="18" customHeight="1">
      <c r="D55" s="488">
        <v>112531</v>
      </c>
      <c r="E55" s="5" t="s">
        <v>63</v>
      </c>
      <c r="F55" s="5">
        <f t="shared" si="9"/>
        <v>0</v>
      </c>
      <c r="G55" s="5">
        <f t="shared" si="10"/>
        <v>0</v>
      </c>
      <c r="H55" s="489">
        <f t="shared" si="11"/>
        <v>0</v>
      </c>
    </row>
    <row r="56" spans="4:8" ht="18" customHeight="1">
      <c r="D56" s="488">
        <v>112533</v>
      </c>
      <c r="E56" s="5" t="s">
        <v>64</v>
      </c>
      <c r="F56" s="5">
        <f t="shared" si="9"/>
        <v>0</v>
      </c>
      <c r="G56" s="5">
        <f t="shared" si="10"/>
        <v>0</v>
      </c>
      <c r="H56" s="489">
        <f t="shared" si="11"/>
        <v>0</v>
      </c>
    </row>
    <row r="57" spans="4:8" ht="18" customHeight="1">
      <c r="D57" s="488">
        <v>112534</v>
      </c>
      <c r="E57" s="5" t="s">
        <v>65</v>
      </c>
      <c r="F57" s="5">
        <f t="shared" si="9"/>
        <v>0</v>
      </c>
      <c r="G57" s="5">
        <f t="shared" si="10"/>
        <v>0</v>
      </c>
      <c r="H57" s="489">
        <f t="shared" si="11"/>
        <v>0</v>
      </c>
    </row>
    <row r="58" spans="4:8" ht="18" customHeight="1">
      <c r="D58" s="488">
        <v>112535</v>
      </c>
      <c r="E58" s="5" t="s">
        <v>66</v>
      </c>
      <c r="F58" s="5">
        <f t="shared" si="9"/>
        <v>0</v>
      </c>
      <c r="G58" s="5">
        <f t="shared" si="10"/>
        <v>0</v>
      </c>
      <c r="H58" s="489">
        <f t="shared" si="11"/>
        <v>0</v>
      </c>
    </row>
    <row r="59" spans="4:8" ht="18" customHeight="1">
      <c r="D59" s="488">
        <v>112900</v>
      </c>
      <c r="E59" s="5" t="s">
        <v>67</v>
      </c>
      <c r="F59" s="5">
        <f t="shared" si="9"/>
        <v>0</v>
      </c>
      <c r="G59" s="5">
        <f t="shared" si="10"/>
        <v>0</v>
      </c>
      <c r="H59" s="489">
        <f t="shared" si="11"/>
        <v>0</v>
      </c>
    </row>
    <row r="60" spans="4:8" ht="18" customHeight="1">
      <c r="D60" s="488" t="s">
        <v>68</v>
      </c>
      <c r="E60" s="5" t="s">
        <v>69</v>
      </c>
      <c r="F60" s="5">
        <f t="shared" si="9"/>
        <v>0</v>
      </c>
      <c r="G60" s="5">
        <f t="shared" si="10"/>
        <v>0</v>
      </c>
      <c r="H60" s="489">
        <f t="shared" si="11"/>
        <v>0</v>
      </c>
    </row>
    <row r="61" spans="4:8" ht="18" customHeight="1">
      <c r="D61" s="478"/>
      <c r="E61" s="479" t="s">
        <v>70</v>
      </c>
      <c r="F61" s="479"/>
      <c r="G61" s="479"/>
      <c r="H61" s="480"/>
    </row>
    <row r="62" spans="4:8" ht="18" customHeight="1">
      <c r="D62" s="483"/>
      <c r="E62" s="484" t="s">
        <v>71</v>
      </c>
      <c r="F62" s="484"/>
      <c r="G62" s="484"/>
      <c r="H62" s="485"/>
    </row>
    <row r="63" spans="4:8" ht="18" customHeight="1">
      <c r="D63" s="488">
        <v>121551</v>
      </c>
      <c r="E63" s="5" t="s">
        <v>72</v>
      </c>
      <c r="F63" s="5">
        <f t="shared" ref="F63:G67" si="12">SUMIF($J:$J,$D63,L:L)</f>
        <v>0</v>
      </c>
      <c r="G63" s="5">
        <f t="shared" si="12"/>
        <v>0</v>
      </c>
      <c r="H63" s="489">
        <f>F63-G63</f>
        <v>0</v>
      </c>
    </row>
    <row r="64" spans="4:8" ht="18" customHeight="1">
      <c r="D64" s="488">
        <v>121511</v>
      </c>
      <c r="E64" s="5" t="s">
        <v>73</v>
      </c>
      <c r="F64" s="5">
        <f t="shared" si="12"/>
        <v>0</v>
      </c>
      <c r="G64" s="5">
        <f t="shared" si="12"/>
        <v>0</v>
      </c>
      <c r="H64" s="489">
        <f>F64-G64</f>
        <v>0</v>
      </c>
    </row>
    <row r="65" spans="4:8" ht="18" customHeight="1">
      <c r="D65" s="488">
        <v>121602</v>
      </c>
      <c r="E65" s="5" t="s">
        <v>1804</v>
      </c>
      <c r="F65" s="5">
        <f t="shared" si="12"/>
        <v>0</v>
      </c>
      <c r="G65" s="5">
        <f t="shared" si="12"/>
        <v>0</v>
      </c>
      <c r="H65" s="489">
        <f>F65-G65</f>
        <v>0</v>
      </c>
    </row>
    <row r="66" spans="4:8" ht="18" customHeight="1">
      <c r="D66" s="488">
        <v>121532</v>
      </c>
      <c r="E66" s="5" t="s">
        <v>74</v>
      </c>
      <c r="F66" s="5">
        <f t="shared" si="12"/>
        <v>0</v>
      </c>
      <c r="G66" s="5">
        <f t="shared" si="12"/>
        <v>0</v>
      </c>
      <c r="H66" s="489">
        <f>F66-G66</f>
        <v>0</v>
      </c>
    </row>
    <row r="67" spans="4:8" ht="18" customHeight="1">
      <c r="D67" s="488">
        <v>121531</v>
      </c>
      <c r="E67" s="5" t="s">
        <v>75</v>
      </c>
      <c r="F67" s="5">
        <f t="shared" si="12"/>
        <v>0</v>
      </c>
      <c r="G67" s="5">
        <f t="shared" si="12"/>
        <v>0</v>
      </c>
      <c r="H67" s="489">
        <f>F67-G67</f>
        <v>0</v>
      </c>
    </row>
    <row r="68" spans="4:8" ht="18" customHeight="1">
      <c r="D68" s="483"/>
      <c r="E68" s="484" t="s">
        <v>76</v>
      </c>
      <c r="F68" s="484"/>
      <c r="G68" s="484"/>
      <c r="H68" s="485"/>
    </row>
    <row r="69" spans="4:8" ht="18" customHeight="1">
      <c r="D69" s="488">
        <v>121410</v>
      </c>
      <c r="E69" s="5" t="s">
        <v>77</v>
      </c>
      <c r="F69" s="5">
        <f t="shared" ref="F69:G72" si="13">SUMIF($J:$J,$D69,L:L)</f>
        <v>0</v>
      </c>
      <c r="G69" s="5">
        <f t="shared" si="13"/>
        <v>0</v>
      </c>
      <c r="H69" s="489">
        <f>F69-G69</f>
        <v>0</v>
      </c>
    </row>
    <row r="70" spans="4:8" ht="18" customHeight="1">
      <c r="D70" s="503" t="s">
        <v>221</v>
      </c>
      <c r="E70" s="5" t="s">
        <v>78</v>
      </c>
      <c r="F70" s="5">
        <f t="shared" si="13"/>
        <v>0</v>
      </c>
      <c r="G70" s="5">
        <f t="shared" si="13"/>
        <v>0</v>
      </c>
      <c r="H70" s="489">
        <f>F70-G70</f>
        <v>0</v>
      </c>
    </row>
    <row r="71" spans="4:8" ht="18" customHeight="1">
      <c r="D71" s="503" t="s">
        <v>222</v>
      </c>
      <c r="E71" s="5" t="s">
        <v>79</v>
      </c>
      <c r="F71" s="5">
        <f t="shared" si="13"/>
        <v>0</v>
      </c>
      <c r="G71" s="5">
        <f t="shared" si="13"/>
        <v>0</v>
      </c>
      <c r="H71" s="489">
        <f>F71-G71</f>
        <v>0</v>
      </c>
    </row>
    <row r="72" spans="4:8" ht="18" customHeight="1">
      <c r="D72" s="503" t="s">
        <v>223</v>
      </c>
      <c r="E72" s="5" t="s">
        <v>42</v>
      </c>
      <c r="F72" s="5">
        <f t="shared" si="13"/>
        <v>0</v>
      </c>
      <c r="G72" s="5">
        <f t="shared" si="13"/>
        <v>0</v>
      </c>
      <c r="H72" s="489">
        <f>F72-G72</f>
        <v>0</v>
      </c>
    </row>
    <row r="73" spans="4:8" ht="18" customHeight="1">
      <c r="D73" s="483"/>
      <c r="E73" s="484" t="s">
        <v>80</v>
      </c>
      <c r="F73" s="484"/>
      <c r="G73" s="484"/>
      <c r="H73" s="485"/>
    </row>
    <row r="74" spans="4:8" ht="18" customHeight="1">
      <c r="D74" s="488">
        <v>900019</v>
      </c>
      <c r="E74" s="5" t="s">
        <v>81</v>
      </c>
      <c r="F74" s="5">
        <f>SUMIF($J:$J,$D74,L:L)</f>
        <v>0</v>
      </c>
      <c r="G74" s="5">
        <f>SUMIF($J:$J,$D74,M:M)</f>
        <v>0</v>
      </c>
      <c r="H74" s="489">
        <f>F74-G74</f>
        <v>0</v>
      </c>
    </row>
    <row r="75" spans="4:8" ht="18" customHeight="1">
      <c r="D75" s="488" t="s">
        <v>82</v>
      </c>
      <c r="E75" s="5" t="s">
        <v>83</v>
      </c>
      <c r="F75" s="5">
        <f>SUMIF($J:$J,$D75,L:L)</f>
        <v>0</v>
      </c>
      <c r="G75" s="5">
        <f>SUMIF($J:$J,$D75,M:M)</f>
        <v>0</v>
      </c>
      <c r="H75" s="489">
        <f>F75-G75</f>
        <v>0</v>
      </c>
    </row>
    <row r="76" spans="4:8" ht="18" customHeight="1">
      <c r="D76" s="483"/>
      <c r="E76" s="484" t="s">
        <v>5</v>
      </c>
      <c r="F76" s="484"/>
      <c r="G76" s="484"/>
      <c r="H76" s="485"/>
    </row>
    <row r="77" spans="4:8" ht="18" customHeight="1">
      <c r="D77" s="488">
        <v>123700</v>
      </c>
      <c r="E77" s="5" t="s">
        <v>84</v>
      </c>
      <c r="F77" s="5">
        <f t="shared" ref="F77:F97" si="14">SUMIF($J:$J,$D77,L:L)</f>
        <v>0</v>
      </c>
      <c r="G77" s="5">
        <f t="shared" ref="G77:G97" si="15">SUMIF($J:$J,$D77,M:M)</f>
        <v>0</v>
      </c>
      <c r="H77" s="489">
        <f t="shared" ref="H77:H97" si="16">F77-G77</f>
        <v>0</v>
      </c>
    </row>
    <row r="78" spans="4:8" ht="18" customHeight="1">
      <c r="D78" s="488">
        <v>123750</v>
      </c>
      <c r="E78" s="5" t="s">
        <v>85</v>
      </c>
      <c r="F78" s="5">
        <f t="shared" si="14"/>
        <v>0</v>
      </c>
      <c r="G78" s="5">
        <f t="shared" si="15"/>
        <v>0</v>
      </c>
      <c r="H78" s="489">
        <f t="shared" si="16"/>
        <v>0</v>
      </c>
    </row>
    <row r="79" spans="4:8" ht="18" customHeight="1">
      <c r="D79" s="488">
        <v>123900</v>
      </c>
      <c r="E79" s="5" t="s">
        <v>86</v>
      </c>
      <c r="F79" s="5">
        <f t="shared" si="14"/>
        <v>0</v>
      </c>
      <c r="G79" s="5">
        <f t="shared" si="15"/>
        <v>0</v>
      </c>
      <c r="H79" s="489">
        <f t="shared" si="16"/>
        <v>0</v>
      </c>
    </row>
    <row r="80" spans="4:8" ht="18" customHeight="1">
      <c r="D80" s="488">
        <v>123950</v>
      </c>
      <c r="E80" s="5" t="s">
        <v>87</v>
      </c>
      <c r="F80" s="5">
        <f t="shared" si="14"/>
        <v>0</v>
      </c>
      <c r="G80" s="5">
        <f t="shared" si="15"/>
        <v>0</v>
      </c>
      <c r="H80" s="489">
        <f t="shared" si="16"/>
        <v>0</v>
      </c>
    </row>
    <row r="81" spans="4:8" ht="18" customHeight="1">
      <c r="D81" s="488">
        <v>123960</v>
      </c>
      <c r="E81" s="5" t="s">
        <v>88</v>
      </c>
      <c r="F81" s="5">
        <f t="shared" si="14"/>
        <v>0</v>
      </c>
      <c r="G81" s="5">
        <f t="shared" si="15"/>
        <v>0</v>
      </c>
      <c r="H81" s="489">
        <f t="shared" si="16"/>
        <v>0</v>
      </c>
    </row>
    <row r="82" spans="4:8" ht="18" customHeight="1">
      <c r="D82" s="488">
        <v>124000</v>
      </c>
      <c r="E82" s="5" t="s">
        <v>89</v>
      </c>
      <c r="F82" s="5">
        <f t="shared" si="14"/>
        <v>0</v>
      </c>
      <c r="G82" s="5">
        <f t="shared" si="15"/>
        <v>0</v>
      </c>
      <c r="H82" s="489">
        <f t="shared" si="16"/>
        <v>0</v>
      </c>
    </row>
    <row r="83" spans="4:8" ht="18" customHeight="1">
      <c r="D83" s="488">
        <v>124050</v>
      </c>
      <c r="E83" s="5" t="s">
        <v>90</v>
      </c>
      <c r="F83" s="5">
        <f t="shared" si="14"/>
        <v>0</v>
      </c>
      <c r="G83" s="5">
        <f t="shared" si="15"/>
        <v>0</v>
      </c>
      <c r="H83" s="489">
        <f t="shared" si="16"/>
        <v>0</v>
      </c>
    </row>
    <row r="84" spans="4:8" ht="18" customHeight="1">
      <c r="D84" s="488">
        <v>124160</v>
      </c>
      <c r="E84" s="5" t="s">
        <v>91</v>
      </c>
      <c r="F84" s="5">
        <f t="shared" si="14"/>
        <v>0</v>
      </c>
      <c r="G84" s="5">
        <f t="shared" si="15"/>
        <v>0</v>
      </c>
      <c r="H84" s="489">
        <f t="shared" si="16"/>
        <v>0</v>
      </c>
    </row>
    <row r="85" spans="4:8" ht="18" customHeight="1">
      <c r="D85" s="488">
        <v>124200</v>
      </c>
      <c r="E85" s="5" t="s">
        <v>92</v>
      </c>
      <c r="F85" s="5">
        <f t="shared" si="14"/>
        <v>0</v>
      </c>
      <c r="G85" s="5">
        <f t="shared" si="15"/>
        <v>0</v>
      </c>
      <c r="H85" s="489">
        <f t="shared" si="16"/>
        <v>0</v>
      </c>
    </row>
    <row r="86" spans="4:8" ht="18" customHeight="1">
      <c r="D86" s="488">
        <v>124250</v>
      </c>
      <c r="E86" s="5" t="s">
        <v>93</v>
      </c>
      <c r="F86" s="5">
        <f t="shared" si="14"/>
        <v>0</v>
      </c>
      <c r="G86" s="5">
        <f t="shared" si="15"/>
        <v>0</v>
      </c>
      <c r="H86" s="489">
        <f t="shared" si="16"/>
        <v>0</v>
      </c>
    </row>
    <row r="87" spans="4:8" ht="18" customHeight="1">
      <c r="D87" s="488">
        <v>124260</v>
      </c>
      <c r="E87" s="5" t="s">
        <v>94</v>
      </c>
      <c r="F87" s="5">
        <f t="shared" si="14"/>
        <v>0</v>
      </c>
      <c r="G87" s="5">
        <f t="shared" si="15"/>
        <v>0</v>
      </c>
      <c r="H87" s="489">
        <f t="shared" si="16"/>
        <v>0</v>
      </c>
    </row>
    <row r="88" spans="4:8" ht="18" customHeight="1">
      <c r="D88" s="488">
        <v>124300</v>
      </c>
      <c r="E88" s="5" t="s">
        <v>95</v>
      </c>
      <c r="F88" s="5">
        <f t="shared" si="14"/>
        <v>0</v>
      </c>
      <c r="G88" s="5">
        <f t="shared" si="15"/>
        <v>0</v>
      </c>
      <c r="H88" s="489">
        <f t="shared" si="16"/>
        <v>0</v>
      </c>
    </row>
    <row r="89" spans="4:8" ht="18" customHeight="1">
      <c r="D89" s="488">
        <v>124350</v>
      </c>
      <c r="E89" s="5" t="s">
        <v>96</v>
      </c>
      <c r="F89" s="5">
        <f t="shared" si="14"/>
        <v>0</v>
      </c>
      <c r="G89" s="5">
        <f t="shared" si="15"/>
        <v>0</v>
      </c>
      <c r="H89" s="489">
        <f t="shared" si="16"/>
        <v>0</v>
      </c>
    </row>
    <row r="90" spans="4:8" ht="18" customHeight="1">
      <c r="D90" s="488">
        <v>124360</v>
      </c>
      <c r="E90" s="5" t="s">
        <v>97</v>
      </c>
      <c r="F90" s="5">
        <f t="shared" si="14"/>
        <v>0</v>
      </c>
      <c r="G90" s="5">
        <f t="shared" si="15"/>
        <v>0</v>
      </c>
      <c r="H90" s="489">
        <f t="shared" si="16"/>
        <v>0</v>
      </c>
    </row>
    <row r="91" spans="4:8" ht="18" customHeight="1">
      <c r="D91" s="488">
        <v>124400</v>
      </c>
      <c r="E91" s="5" t="s">
        <v>98</v>
      </c>
      <c r="F91" s="5">
        <f t="shared" si="14"/>
        <v>0</v>
      </c>
      <c r="G91" s="5">
        <f t="shared" si="15"/>
        <v>0</v>
      </c>
      <c r="H91" s="489">
        <f t="shared" si="16"/>
        <v>0</v>
      </c>
    </row>
    <row r="92" spans="4:8" ht="18" customHeight="1">
      <c r="D92" s="488">
        <v>124450</v>
      </c>
      <c r="E92" s="5" t="s">
        <v>99</v>
      </c>
      <c r="F92" s="5">
        <f t="shared" si="14"/>
        <v>0</v>
      </c>
      <c r="G92" s="5">
        <f t="shared" si="15"/>
        <v>0</v>
      </c>
      <c r="H92" s="489">
        <f t="shared" si="16"/>
        <v>0</v>
      </c>
    </row>
    <row r="93" spans="4:8" ht="18" customHeight="1">
      <c r="D93" s="488">
        <v>124600</v>
      </c>
      <c r="E93" s="5" t="s">
        <v>100</v>
      </c>
      <c r="F93" s="5">
        <f t="shared" si="14"/>
        <v>0</v>
      </c>
      <c r="G93" s="5">
        <f t="shared" si="15"/>
        <v>0</v>
      </c>
      <c r="H93" s="489">
        <f t="shared" si="16"/>
        <v>0</v>
      </c>
    </row>
    <row r="94" spans="4:8" ht="18" customHeight="1">
      <c r="D94" s="488">
        <v>126100</v>
      </c>
      <c r="E94" s="5" t="s">
        <v>101</v>
      </c>
      <c r="F94" s="5">
        <f t="shared" si="14"/>
        <v>0</v>
      </c>
      <c r="G94" s="5">
        <f t="shared" si="15"/>
        <v>0</v>
      </c>
      <c r="H94" s="489">
        <f t="shared" si="16"/>
        <v>0</v>
      </c>
    </row>
    <row r="95" spans="4:8" ht="18" customHeight="1">
      <c r="D95" s="488">
        <v>126110</v>
      </c>
      <c r="E95" s="5" t="s">
        <v>102</v>
      </c>
      <c r="F95" s="5">
        <f t="shared" si="14"/>
        <v>0</v>
      </c>
      <c r="G95" s="5">
        <f t="shared" si="15"/>
        <v>0</v>
      </c>
      <c r="H95" s="489">
        <f t="shared" si="16"/>
        <v>0</v>
      </c>
    </row>
    <row r="96" spans="4:8" ht="18" customHeight="1">
      <c r="D96" s="488">
        <v>126200</v>
      </c>
      <c r="E96" s="5" t="s">
        <v>103</v>
      </c>
      <c r="F96" s="5">
        <f t="shared" si="14"/>
        <v>0</v>
      </c>
      <c r="G96" s="5">
        <f t="shared" si="15"/>
        <v>0</v>
      </c>
      <c r="H96" s="489">
        <f t="shared" si="16"/>
        <v>0</v>
      </c>
    </row>
    <row r="97" spans="4:8" ht="18" customHeight="1">
      <c r="D97" s="488">
        <v>126210</v>
      </c>
      <c r="E97" s="5" t="s">
        <v>104</v>
      </c>
      <c r="F97" s="5">
        <f t="shared" si="14"/>
        <v>0</v>
      </c>
      <c r="G97" s="5">
        <f t="shared" si="15"/>
        <v>0</v>
      </c>
      <c r="H97" s="489">
        <f t="shared" si="16"/>
        <v>0</v>
      </c>
    </row>
    <row r="98" spans="4:8" ht="18" customHeight="1">
      <c r="D98" s="483"/>
      <c r="E98" s="484" t="s">
        <v>6</v>
      </c>
      <c r="F98" s="484"/>
      <c r="G98" s="484"/>
      <c r="H98" s="485"/>
    </row>
    <row r="99" spans="4:8" ht="18" customHeight="1">
      <c r="D99" s="488" t="s">
        <v>105</v>
      </c>
      <c r="E99" s="5" t="s">
        <v>106</v>
      </c>
      <c r="F99" s="5">
        <f t="shared" ref="F99:F117" si="17">SUMIF($J:$J,$D99,L:L)</f>
        <v>0</v>
      </c>
      <c r="G99" s="5">
        <f t="shared" ref="G99:G117" si="18">SUMIF($J:$J,$D99,M:M)</f>
        <v>0</v>
      </c>
      <c r="H99" s="489">
        <f t="shared" ref="H99:H117" si="19">F99-G99</f>
        <v>0</v>
      </c>
    </row>
    <row r="100" spans="4:8" ht="18" customHeight="1">
      <c r="D100" s="488" t="s">
        <v>107</v>
      </c>
      <c r="E100" s="5" t="s">
        <v>108</v>
      </c>
      <c r="F100" s="5">
        <f t="shared" si="17"/>
        <v>0</v>
      </c>
      <c r="G100" s="5">
        <f t="shared" si="18"/>
        <v>0</v>
      </c>
      <c r="H100" s="489">
        <f t="shared" si="19"/>
        <v>0</v>
      </c>
    </row>
    <row r="101" spans="4:8" ht="18" customHeight="1">
      <c r="D101" s="488" t="s">
        <v>109</v>
      </c>
      <c r="E101" s="5" t="s">
        <v>110</v>
      </c>
      <c r="F101" s="5">
        <f t="shared" si="17"/>
        <v>0</v>
      </c>
      <c r="G101" s="5">
        <f t="shared" si="18"/>
        <v>0</v>
      </c>
      <c r="H101" s="489">
        <f t="shared" si="19"/>
        <v>0</v>
      </c>
    </row>
    <row r="102" spans="4:8" ht="18" customHeight="1">
      <c r="D102" s="488" t="s">
        <v>111</v>
      </c>
      <c r="E102" s="5" t="s">
        <v>112</v>
      </c>
      <c r="F102" s="5">
        <f t="shared" si="17"/>
        <v>0</v>
      </c>
      <c r="G102" s="5">
        <f t="shared" si="18"/>
        <v>0</v>
      </c>
      <c r="H102" s="489">
        <f t="shared" si="19"/>
        <v>0</v>
      </c>
    </row>
    <row r="103" spans="4:8" ht="18" customHeight="1">
      <c r="D103" s="488" t="s">
        <v>113</v>
      </c>
      <c r="E103" s="5" t="s">
        <v>114</v>
      </c>
      <c r="F103" s="5">
        <f t="shared" si="17"/>
        <v>0</v>
      </c>
      <c r="G103" s="5">
        <f t="shared" si="18"/>
        <v>0</v>
      </c>
      <c r="H103" s="489">
        <f t="shared" si="19"/>
        <v>0</v>
      </c>
    </row>
    <row r="104" spans="4:8" ht="18" customHeight="1">
      <c r="D104" s="488">
        <v>125300</v>
      </c>
      <c r="E104" s="5" t="s">
        <v>115</v>
      </c>
      <c r="F104" s="5">
        <f t="shared" si="17"/>
        <v>0</v>
      </c>
      <c r="G104" s="5">
        <f t="shared" si="18"/>
        <v>0</v>
      </c>
      <c r="H104" s="489">
        <f t="shared" si="19"/>
        <v>0</v>
      </c>
    </row>
    <row r="105" spans="4:8" ht="18" customHeight="1">
      <c r="D105" s="488">
        <v>125400</v>
      </c>
      <c r="E105" s="5" t="s">
        <v>116</v>
      </c>
      <c r="F105" s="5">
        <f t="shared" si="17"/>
        <v>0</v>
      </c>
      <c r="G105" s="5">
        <f t="shared" si="18"/>
        <v>0</v>
      </c>
      <c r="H105" s="489">
        <f t="shared" si="19"/>
        <v>0</v>
      </c>
    </row>
    <row r="106" spans="4:8" ht="18" customHeight="1">
      <c r="D106" s="488" t="s">
        <v>117</v>
      </c>
      <c r="E106" s="5" t="s">
        <v>118</v>
      </c>
      <c r="F106" s="5">
        <f t="shared" si="17"/>
        <v>0</v>
      </c>
      <c r="G106" s="5">
        <f t="shared" si="18"/>
        <v>0</v>
      </c>
      <c r="H106" s="489">
        <f t="shared" si="19"/>
        <v>0</v>
      </c>
    </row>
    <row r="107" spans="4:8" ht="18" customHeight="1">
      <c r="D107" s="488" t="s">
        <v>119</v>
      </c>
      <c r="E107" s="5" t="s">
        <v>120</v>
      </c>
      <c r="F107" s="5">
        <f t="shared" si="17"/>
        <v>0</v>
      </c>
      <c r="G107" s="5">
        <f t="shared" si="18"/>
        <v>0</v>
      </c>
      <c r="H107" s="489">
        <f t="shared" si="19"/>
        <v>0</v>
      </c>
    </row>
    <row r="108" spans="4:8" ht="18" customHeight="1">
      <c r="D108" s="488" t="s">
        <v>121</v>
      </c>
      <c r="E108" s="5" t="s">
        <v>122</v>
      </c>
      <c r="F108" s="5">
        <f t="shared" si="17"/>
        <v>0</v>
      </c>
      <c r="G108" s="5">
        <f t="shared" si="18"/>
        <v>0</v>
      </c>
      <c r="H108" s="489">
        <f t="shared" si="19"/>
        <v>0</v>
      </c>
    </row>
    <row r="109" spans="4:8" ht="18" customHeight="1">
      <c r="D109" s="488">
        <v>125900</v>
      </c>
      <c r="E109" s="5" t="s">
        <v>123</v>
      </c>
      <c r="F109" s="5">
        <f t="shared" si="17"/>
        <v>0</v>
      </c>
      <c r="G109" s="5">
        <f t="shared" si="18"/>
        <v>0</v>
      </c>
      <c r="H109" s="489">
        <f t="shared" si="19"/>
        <v>0</v>
      </c>
    </row>
    <row r="110" spans="4:8" ht="18" customHeight="1">
      <c r="D110" s="488" t="s">
        <v>126</v>
      </c>
      <c r="E110" s="5" t="s">
        <v>127</v>
      </c>
      <c r="F110" s="5">
        <f t="shared" si="17"/>
        <v>0</v>
      </c>
      <c r="G110" s="5">
        <f t="shared" si="18"/>
        <v>0</v>
      </c>
      <c r="H110" s="489">
        <f t="shared" si="19"/>
        <v>0</v>
      </c>
    </row>
    <row r="111" spans="4:8" ht="18" customHeight="1">
      <c r="D111" s="488" t="s">
        <v>124</v>
      </c>
      <c r="E111" s="5" t="s">
        <v>125</v>
      </c>
      <c r="F111" s="5">
        <f t="shared" si="17"/>
        <v>0</v>
      </c>
      <c r="G111" s="5">
        <f t="shared" si="18"/>
        <v>0</v>
      </c>
      <c r="H111" s="489">
        <f t="shared" si="19"/>
        <v>0</v>
      </c>
    </row>
    <row r="112" spans="4:8" ht="18" customHeight="1">
      <c r="D112" s="488" t="s">
        <v>128</v>
      </c>
      <c r="E112" s="5" t="s">
        <v>129</v>
      </c>
      <c r="F112" s="5">
        <f t="shared" si="17"/>
        <v>0</v>
      </c>
      <c r="G112" s="5">
        <f t="shared" si="18"/>
        <v>0</v>
      </c>
      <c r="H112" s="489">
        <f t="shared" si="19"/>
        <v>0</v>
      </c>
    </row>
    <row r="113" spans="4:8" ht="18" customHeight="1">
      <c r="D113" s="488" t="s">
        <v>130</v>
      </c>
      <c r="E113" s="5" t="s">
        <v>131</v>
      </c>
      <c r="F113" s="5">
        <f t="shared" si="17"/>
        <v>0</v>
      </c>
      <c r="G113" s="5">
        <f t="shared" si="18"/>
        <v>0</v>
      </c>
      <c r="H113" s="489">
        <f t="shared" si="19"/>
        <v>0</v>
      </c>
    </row>
    <row r="114" spans="4:8" ht="18" customHeight="1">
      <c r="D114" s="488">
        <v>125950</v>
      </c>
      <c r="E114" s="5" t="s">
        <v>132</v>
      </c>
      <c r="F114" s="5">
        <f t="shared" si="17"/>
        <v>0</v>
      </c>
      <c r="G114" s="5">
        <f t="shared" si="18"/>
        <v>0</v>
      </c>
      <c r="H114" s="489">
        <f t="shared" si="19"/>
        <v>0</v>
      </c>
    </row>
    <row r="115" spans="4:8" ht="18" customHeight="1">
      <c r="D115" s="488">
        <v>125960</v>
      </c>
      <c r="E115" s="5" t="s">
        <v>133</v>
      </c>
      <c r="F115" s="5">
        <f t="shared" si="17"/>
        <v>0</v>
      </c>
      <c r="G115" s="5">
        <f t="shared" si="18"/>
        <v>0</v>
      </c>
      <c r="H115" s="489">
        <f t="shared" si="19"/>
        <v>0</v>
      </c>
    </row>
    <row r="116" spans="4:8" ht="18" customHeight="1">
      <c r="D116" s="488">
        <v>125970</v>
      </c>
      <c r="E116" s="5" t="s">
        <v>134</v>
      </c>
      <c r="F116" s="5">
        <f t="shared" si="17"/>
        <v>0</v>
      </c>
      <c r="G116" s="5">
        <f t="shared" si="18"/>
        <v>0</v>
      </c>
      <c r="H116" s="489">
        <f t="shared" si="19"/>
        <v>0</v>
      </c>
    </row>
    <row r="117" spans="4:8" ht="18" customHeight="1">
      <c r="D117" s="488">
        <v>125980</v>
      </c>
      <c r="E117" s="5" t="s">
        <v>135</v>
      </c>
      <c r="F117" s="5">
        <f t="shared" si="17"/>
        <v>0</v>
      </c>
      <c r="G117" s="5">
        <f t="shared" si="18"/>
        <v>0</v>
      </c>
      <c r="H117" s="489">
        <f t="shared" si="19"/>
        <v>0</v>
      </c>
    </row>
    <row r="118" spans="4:8" ht="18" customHeight="1">
      <c r="D118" s="483"/>
      <c r="E118" s="484" t="s">
        <v>7</v>
      </c>
      <c r="F118" s="484"/>
      <c r="G118" s="484"/>
      <c r="H118" s="485"/>
    </row>
    <row r="119" spans="4:8" ht="18" customHeight="1">
      <c r="D119" s="488">
        <v>121850</v>
      </c>
      <c r="E119" s="5" t="s">
        <v>136</v>
      </c>
      <c r="F119" s="5">
        <f>SUMIF($J:$J,$D119,L:L)</f>
        <v>0</v>
      </c>
      <c r="G119" s="5">
        <f>SUMIF($J:$J,$D119,M:M)</f>
        <v>0</v>
      </c>
      <c r="H119" s="489">
        <f>F119-G119</f>
        <v>0</v>
      </c>
    </row>
    <row r="120" spans="4:8" ht="18" customHeight="1">
      <c r="D120" s="472"/>
      <c r="E120" s="473" t="s">
        <v>8</v>
      </c>
      <c r="F120" s="473"/>
      <c r="G120" s="473"/>
      <c r="H120" s="474"/>
    </row>
    <row r="121" spans="4:8" ht="18" customHeight="1">
      <c r="D121" s="478"/>
      <c r="E121" s="479" t="s">
        <v>9</v>
      </c>
      <c r="F121" s="479"/>
      <c r="G121" s="479"/>
      <c r="H121" s="480"/>
    </row>
    <row r="122" spans="4:8" ht="18" customHeight="1">
      <c r="D122" s="483">
        <v>211000</v>
      </c>
      <c r="E122" s="484" t="s">
        <v>137</v>
      </c>
      <c r="F122" s="484"/>
      <c r="G122" s="484"/>
      <c r="H122" s="485"/>
    </row>
    <row r="123" spans="4:8" ht="18" customHeight="1">
      <c r="D123" s="488">
        <v>211111</v>
      </c>
      <c r="E123" s="5" t="s">
        <v>138</v>
      </c>
      <c r="F123" s="5">
        <f t="shared" ref="F123:F140" si="20">SUMIF($J:$J,$D123,L:L)</f>
        <v>0</v>
      </c>
      <c r="G123" s="5">
        <f t="shared" ref="G123:G140" si="21">SUMIF($J:$J,$D123,M:M)</f>
        <v>0</v>
      </c>
      <c r="H123" s="489">
        <f t="shared" ref="H123:H147" si="22">F123-G123</f>
        <v>0</v>
      </c>
    </row>
    <row r="124" spans="4:8" ht="18" customHeight="1">
      <c r="D124" s="488">
        <v>211121</v>
      </c>
      <c r="E124" s="5" t="s">
        <v>139</v>
      </c>
      <c r="F124" s="5">
        <f t="shared" si="20"/>
        <v>463781254</v>
      </c>
      <c r="G124" s="5">
        <f t="shared" si="21"/>
        <v>0</v>
      </c>
      <c r="H124" s="489">
        <f t="shared" si="22"/>
        <v>463781254</v>
      </c>
    </row>
    <row r="125" spans="4:8" ht="18" customHeight="1">
      <c r="D125" s="488">
        <v>211131</v>
      </c>
      <c r="E125" s="5" t="s">
        <v>140</v>
      </c>
      <c r="F125" s="5">
        <f t="shared" si="20"/>
        <v>0</v>
      </c>
      <c r="G125" s="5">
        <f t="shared" si="21"/>
        <v>0</v>
      </c>
      <c r="H125" s="489">
        <f t="shared" si="22"/>
        <v>0</v>
      </c>
    </row>
    <row r="126" spans="4:8" ht="18" customHeight="1">
      <c r="D126" s="488">
        <v>211141</v>
      </c>
      <c r="E126" s="5" t="s">
        <v>141</v>
      </c>
      <c r="F126" s="5">
        <f t="shared" si="20"/>
        <v>0</v>
      </c>
      <c r="G126" s="5">
        <f t="shared" si="21"/>
        <v>0</v>
      </c>
      <c r="H126" s="489">
        <f t="shared" si="22"/>
        <v>0</v>
      </c>
    </row>
    <row r="127" spans="4:8" ht="18" customHeight="1">
      <c r="D127" s="488">
        <v>211151</v>
      </c>
      <c r="E127" s="5" t="s">
        <v>142</v>
      </c>
      <c r="F127" s="5">
        <f t="shared" si="20"/>
        <v>0</v>
      </c>
      <c r="G127" s="5">
        <f t="shared" si="21"/>
        <v>0</v>
      </c>
      <c r="H127" s="489">
        <f t="shared" si="22"/>
        <v>0</v>
      </c>
    </row>
    <row r="128" spans="4:8" ht="18" customHeight="1">
      <c r="D128" s="488">
        <v>211161</v>
      </c>
      <c r="E128" s="5" t="s">
        <v>143</v>
      </c>
      <c r="F128" s="5">
        <f t="shared" si="20"/>
        <v>0</v>
      </c>
      <c r="G128" s="5">
        <f t="shared" si="21"/>
        <v>0</v>
      </c>
      <c r="H128" s="489">
        <f t="shared" si="22"/>
        <v>0</v>
      </c>
    </row>
    <row r="129" spans="4:8" ht="18" customHeight="1">
      <c r="D129" s="488">
        <v>213100</v>
      </c>
      <c r="E129" s="5" t="s">
        <v>144</v>
      </c>
      <c r="F129" s="5">
        <f t="shared" si="20"/>
        <v>0</v>
      </c>
      <c r="G129" s="5">
        <f t="shared" si="21"/>
        <v>0</v>
      </c>
      <c r="H129" s="489">
        <f t="shared" si="22"/>
        <v>0</v>
      </c>
    </row>
    <row r="130" spans="4:8" ht="18" customHeight="1">
      <c r="D130" s="488">
        <v>213150</v>
      </c>
      <c r="E130" s="5" t="s">
        <v>145</v>
      </c>
      <c r="F130" s="5">
        <f t="shared" si="20"/>
        <v>87326534</v>
      </c>
      <c r="G130" s="5">
        <f t="shared" si="21"/>
        <v>0</v>
      </c>
      <c r="H130" s="489">
        <f t="shared" si="22"/>
        <v>87326534</v>
      </c>
    </row>
    <row r="131" spans="4:8" ht="18" customHeight="1">
      <c r="D131" s="488">
        <v>213900</v>
      </c>
      <c r="E131" s="5" t="s">
        <v>146</v>
      </c>
      <c r="F131" s="5">
        <f t="shared" si="20"/>
        <v>0</v>
      </c>
      <c r="G131" s="5">
        <f t="shared" si="21"/>
        <v>0</v>
      </c>
      <c r="H131" s="489">
        <f t="shared" si="22"/>
        <v>0</v>
      </c>
    </row>
    <row r="132" spans="4:8" ht="18" customHeight="1">
      <c r="D132" s="488">
        <v>213800</v>
      </c>
      <c r="E132" s="5" t="s">
        <v>147</v>
      </c>
      <c r="F132" s="5">
        <f t="shared" si="20"/>
        <v>0</v>
      </c>
      <c r="G132" s="5">
        <f t="shared" si="21"/>
        <v>0</v>
      </c>
      <c r="H132" s="489">
        <f t="shared" si="22"/>
        <v>0</v>
      </c>
    </row>
    <row r="133" spans="4:8" ht="18" customHeight="1">
      <c r="D133" s="488">
        <v>213101</v>
      </c>
      <c r="E133" s="5" t="s">
        <v>148</v>
      </c>
      <c r="F133" s="5">
        <f t="shared" si="20"/>
        <v>0</v>
      </c>
      <c r="G133" s="5">
        <f t="shared" si="21"/>
        <v>0</v>
      </c>
      <c r="H133" s="489">
        <f t="shared" si="22"/>
        <v>0</v>
      </c>
    </row>
    <row r="134" spans="4:8" ht="18" customHeight="1">
      <c r="D134" s="488">
        <v>213200</v>
      </c>
      <c r="E134" s="5" t="s">
        <v>149</v>
      </c>
      <c r="F134" s="5">
        <f t="shared" si="20"/>
        <v>0</v>
      </c>
      <c r="G134" s="5">
        <f t="shared" si="21"/>
        <v>0</v>
      </c>
      <c r="H134" s="489">
        <f t="shared" si="22"/>
        <v>0</v>
      </c>
    </row>
    <row r="135" spans="4:8" ht="18" customHeight="1">
      <c r="D135" s="488">
        <v>217900</v>
      </c>
      <c r="E135" s="5" t="s">
        <v>150</v>
      </c>
      <c r="F135" s="5">
        <f t="shared" si="20"/>
        <v>0</v>
      </c>
      <c r="G135" s="5">
        <f t="shared" si="21"/>
        <v>0</v>
      </c>
      <c r="H135" s="489">
        <f t="shared" si="22"/>
        <v>0</v>
      </c>
    </row>
    <row r="136" spans="4:8" ht="18" customHeight="1">
      <c r="D136" s="488">
        <v>217200</v>
      </c>
      <c r="E136" s="5" t="s">
        <v>151</v>
      </c>
      <c r="F136" s="5">
        <f t="shared" si="20"/>
        <v>12497588</v>
      </c>
      <c r="G136" s="5">
        <f t="shared" si="21"/>
        <v>0</v>
      </c>
      <c r="H136" s="489">
        <f t="shared" si="22"/>
        <v>12497588</v>
      </c>
    </row>
    <row r="137" spans="4:8" ht="18" customHeight="1">
      <c r="D137" s="488">
        <v>217300</v>
      </c>
      <c r="E137" s="5" t="s">
        <v>152</v>
      </c>
      <c r="F137" s="5">
        <f t="shared" si="20"/>
        <v>0</v>
      </c>
      <c r="G137" s="5">
        <f t="shared" si="21"/>
        <v>0</v>
      </c>
      <c r="H137" s="489">
        <f t="shared" si="22"/>
        <v>0</v>
      </c>
    </row>
    <row r="138" spans="4:8" ht="18" customHeight="1">
      <c r="D138" s="488">
        <v>217400</v>
      </c>
      <c r="E138" s="5" t="s">
        <v>153</v>
      </c>
      <c r="F138" s="5">
        <f t="shared" si="20"/>
        <v>0</v>
      </c>
      <c r="G138" s="5">
        <f t="shared" si="21"/>
        <v>0</v>
      </c>
      <c r="H138" s="489">
        <f t="shared" si="22"/>
        <v>0</v>
      </c>
    </row>
    <row r="139" spans="4:8" ht="18" customHeight="1">
      <c r="D139" s="488">
        <v>217500</v>
      </c>
      <c r="E139" s="5" t="s">
        <v>154</v>
      </c>
      <c r="F139" s="5">
        <f t="shared" si="20"/>
        <v>0</v>
      </c>
      <c r="G139" s="5">
        <f t="shared" si="21"/>
        <v>0</v>
      </c>
      <c r="H139" s="489">
        <f t="shared" si="22"/>
        <v>0</v>
      </c>
    </row>
    <row r="140" spans="4:8" ht="18" customHeight="1">
      <c r="D140" s="488">
        <v>223150</v>
      </c>
      <c r="E140" s="5" t="s">
        <v>155</v>
      </c>
      <c r="F140" s="5">
        <f t="shared" si="20"/>
        <v>0</v>
      </c>
      <c r="G140" s="5">
        <f t="shared" si="21"/>
        <v>0</v>
      </c>
      <c r="H140" s="489">
        <f t="shared" si="22"/>
        <v>0</v>
      </c>
    </row>
    <row r="141" spans="4:8" ht="18" customHeight="1">
      <c r="D141" s="483"/>
      <c r="E141" s="484" t="s">
        <v>156</v>
      </c>
      <c r="F141" s="484"/>
      <c r="G141" s="484"/>
      <c r="H141" s="485"/>
    </row>
    <row r="142" spans="4:8" ht="18" customHeight="1">
      <c r="D142" s="488">
        <v>212300</v>
      </c>
      <c r="E142" s="5" t="s">
        <v>157</v>
      </c>
      <c r="F142" s="5">
        <f t="shared" ref="F142:G147" si="23">SUMIF($J:$J,$D142,L:L)</f>
        <v>0</v>
      </c>
      <c r="G142" s="5">
        <f t="shared" si="23"/>
        <v>0</v>
      </c>
      <c r="H142" s="489">
        <f t="shared" si="22"/>
        <v>0</v>
      </c>
    </row>
    <row r="143" spans="4:8" ht="18" customHeight="1">
      <c r="D143" s="492">
        <v>212500</v>
      </c>
      <c r="E143" s="493" t="s">
        <v>1603</v>
      </c>
      <c r="F143" s="493">
        <f t="shared" si="23"/>
        <v>527130000</v>
      </c>
      <c r="G143" s="493">
        <f t="shared" si="23"/>
        <v>0</v>
      </c>
      <c r="H143" s="494">
        <f t="shared" si="22"/>
        <v>527130000</v>
      </c>
    </row>
    <row r="144" spans="4:8" ht="18" customHeight="1">
      <c r="D144" s="488">
        <v>230320</v>
      </c>
      <c r="E144" s="5" t="s">
        <v>158</v>
      </c>
      <c r="F144" s="5">
        <f t="shared" si="23"/>
        <v>0</v>
      </c>
      <c r="G144" s="5">
        <f t="shared" si="23"/>
        <v>0</v>
      </c>
      <c r="H144" s="489">
        <f t="shared" si="22"/>
        <v>0</v>
      </c>
    </row>
    <row r="145" spans="4:8" ht="18" customHeight="1">
      <c r="D145" s="488">
        <v>230321</v>
      </c>
      <c r="E145" s="5" t="s">
        <v>159</v>
      </c>
      <c r="F145" s="5">
        <f t="shared" si="23"/>
        <v>0</v>
      </c>
      <c r="G145" s="5">
        <f t="shared" si="23"/>
        <v>0</v>
      </c>
      <c r="H145" s="489">
        <f t="shared" si="22"/>
        <v>0</v>
      </c>
    </row>
    <row r="146" spans="4:8" ht="18" customHeight="1">
      <c r="D146" s="488">
        <v>230322</v>
      </c>
      <c r="E146" s="5" t="s">
        <v>160</v>
      </c>
      <c r="F146" s="5">
        <f t="shared" si="23"/>
        <v>0</v>
      </c>
      <c r="G146" s="5">
        <f t="shared" si="23"/>
        <v>0</v>
      </c>
      <c r="H146" s="489">
        <f t="shared" si="22"/>
        <v>0</v>
      </c>
    </row>
    <row r="147" spans="4:8" ht="18" customHeight="1">
      <c r="D147" s="488">
        <v>230325</v>
      </c>
      <c r="E147" s="5" t="s">
        <v>161</v>
      </c>
      <c r="F147" s="5">
        <f t="shared" si="23"/>
        <v>0</v>
      </c>
      <c r="G147" s="5">
        <f t="shared" si="23"/>
        <v>0</v>
      </c>
      <c r="H147" s="489">
        <f t="shared" si="22"/>
        <v>0</v>
      </c>
    </row>
    <row r="148" spans="4:8" ht="18" customHeight="1">
      <c r="D148" s="483"/>
      <c r="E148" s="484" t="s">
        <v>162</v>
      </c>
      <c r="F148" s="484"/>
      <c r="G148" s="484"/>
      <c r="H148" s="485"/>
    </row>
    <row r="149" spans="4:8" ht="18" customHeight="1">
      <c r="D149" s="488">
        <v>214100</v>
      </c>
      <c r="E149" s="5" t="s">
        <v>163</v>
      </c>
      <c r="F149" s="5">
        <f t="shared" ref="F149:F169" si="24">SUMIF($J:$J,$D149,L:L)</f>
        <v>0</v>
      </c>
      <c r="G149" s="5">
        <f t="shared" ref="G149:G169" si="25">SUMIF($J:$J,$D149,M:M)</f>
        <v>0</v>
      </c>
      <c r="H149" s="489">
        <f t="shared" ref="H149:H169" si="26">F149-G149</f>
        <v>0</v>
      </c>
    </row>
    <row r="150" spans="4:8" ht="18" customHeight="1">
      <c r="D150" s="488">
        <v>214200</v>
      </c>
      <c r="E150" s="5" t="s">
        <v>164</v>
      </c>
      <c r="F150" s="5">
        <f t="shared" si="24"/>
        <v>0</v>
      </c>
      <c r="G150" s="5">
        <f t="shared" si="25"/>
        <v>0</v>
      </c>
      <c r="H150" s="489">
        <f t="shared" si="26"/>
        <v>0</v>
      </c>
    </row>
    <row r="151" spans="4:8" ht="18" customHeight="1">
      <c r="D151" s="488">
        <v>214350</v>
      </c>
      <c r="E151" s="5" t="s">
        <v>165</v>
      </c>
      <c r="F151" s="5">
        <f t="shared" si="24"/>
        <v>0</v>
      </c>
      <c r="G151" s="5">
        <f t="shared" si="25"/>
        <v>0</v>
      </c>
      <c r="H151" s="489">
        <f t="shared" si="26"/>
        <v>0</v>
      </c>
    </row>
    <row r="152" spans="4:8" ht="18" customHeight="1">
      <c r="D152" s="488">
        <v>214360</v>
      </c>
      <c r="E152" s="5" t="s">
        <v>166</v>
      </c>
      <c r="F152" s="5">
        <f t="shared" si="24"/>
        <v>0</v>
      </c>
      <c r="G152" s="5">
        <f t="shared" si="25"/>
        <v>0</v>
      </c>
      <c r="H152" s="489">
        <f t="shared" si="26"/>
        <v>0</v>
      </c>
    </row>
    <row r="153" spans="4:8" ht="18" customHeight="1">
      <c r="D153" s="14" t="s">
        <v>1976</v>
      </c>
      <c r="E153" s="6" t="s">
        <v>2254</v>
      </c>
      <c r="F153" s="5">
        <f t="shared" si="24"/>
        <v>0</v>
      </c>
      <c r="G153" s="5">
        <f t="shared" si="25"/>
        <v>0</v>
      </c>
      <c r="H153" s="489">
        <f t="shared" ref="H153" si="27">F153-G153</f>
        <v>0</v>
      </c>
    </row>
    <row r="154" spans="4:8" ht="18" customHeight="1">
      <c r="D154" s="488">
        <v>214150</v>
      </c>
      <c r="E154" s="5" t="s">
        <v>167</v>
      </c>
      <c r="F154" s="5">
        <f t="shared" si="24"/>
        <v>0</v>
      </c>
      <c r="G154" s="5">
        <f t="shared" si="25"/>
        <v>0</v>
      </c>
      <c r="H154" s="489">
        <f t="shared" si="26"/>
        <v>0</v>
      </c>
    </row>
    <row r="155" spans="4:8" ht="18" customHeight="1">
      <c r="D155" s="488">
        <v>214250</v>
      </c>
      <c r="E155" s="6" t="s">
        <v>1950</v>
      </c>
      <c r="F155" s="5">
        <f t="shared" si="24"/>
        <v>0</v>
      </c>
      <c r="G155" s="5">
        <f t="shared" si="25"/>
        <v>0</v>
      </c>
      <c r="H155" s="489">
        <f t="shared" si="26"/>
        <v>0</v>
      </c>
    </row>
    <row r="156" spans="4:8" ht="18" customHeight="1">
      <c r="D156" s="488">
        <v>214400</v>
      </c>
      <c r="E156" s="5" t="s">
        <v>168</v>
      </c>
      <c r="F156" s="5">
        <f t="shared" si="24"/>
        <v>0</v>
      </c>
      <c r="G156" s="5">
        <f t="shared" si="25"/>
        <v>0</v>
      </c>
      <c r="H156" s="489">
        <f t="shared" si="26"/>
        <v>0</v>
      </c>
    </row>
    <row r="157" spans="4:8" ht="18" customHeight="1">
      <c r="D157" s="488">
        <v>214600</v>
      </c>
      <c r="E157" s="5" t="s">
        <v>169</v>
      </c>
      <c r="F157" s="5">
        <f t="shared" si="24"/>
        <v>0</v>
      </c>
      <c r="G157" s="5">
        <f t="shared" si="25"/>
        <v>0</v>
      </c>
      <c r="H157" s="489">
        <f t="shared" si="26"/>
        <v>0</v>
      </c>
    </row>
    <row r="158" spans="4:8" ht="18" customHeight="1">
      <c r="D158" s="488">
        <v>214700</v>
      </c>
      <c r="E158" s="5" t="s">
        <v>170</v>
      </c>
      <c r="F158" s="5">
        <f t="shared" si="24"/>
        <v>0</v>
      </c>
      <c r="G158" s="5">
        <f t="shared" si="25"/>
        <v>0</v>
      </c>
      <c r="H158" s="489">
        <f t="shared" si="26"/>
        <v>0</v>
      </c>
    </row>
    <row r="159" spans="4:8" ht="18" customHeight="1">
      <c r="D159" s="488">
        <v>215100</v>
      </c>
      <c r="E159" s="5" t="s">
        <v>171</v>
      </c>
      <c r="F159" s="5">
        <f t="shared" si="24"/>
        <v>0</v>
      </c>
      <c r="G159" s="5">
        <f t="shared" si="25"/>
        <v>0</v>
      </c>
      <c r="H159" s="489">
        <f t="shared" si="26"/>
        <v>0</v>
      </c>
    </row>
    <row r="160" spans="4:8" ht="18" customHeight="1">
      <c r="D160" s="488">
        <v>215200</v>
      </c>
      <c r="E160" s="5" t="s">
        <v>172</v>
      </c>
      <c r="F160" s="5">
        <f t="shared" si="24"/>
        <v>0</v>
      </c>
      <c r="G160" s="5">
        <f t="shared" si="25"/>
        <v>0</v>
      </c>
      <c r="H160" s="489">
        <f t="shared" si="26"/>
        <v>0</v>
      </c>
    </row>
    <row r="161" spans="4:8" ht="18" customHeight="1">
      <c r="D161" s="488">
        <v>215300</v>
      </c>
      <c r="E161" s="5" t="s">
        <v>173</v>
      </c>
      <c r="F161" s="5">
        <f t="shared" si="24"/>
        <v>0</v>
      </c>
      <c r="G161" s="5">
        <f t="shared" si="25"/>
        <v>0</v>
      </c>
      <c r="H161" s="489">
        <f t="shared" si="26"/>
        <v>0</v>
      </c>
    </row>
    <row r="162" spans="4:8" ht="18" customHeight="1">
      <c r="D162" s="488">
        <v>215400</v>
      </c>
      <c r="E162" s="5" t="s">
        <v>174</v>
      </c>
      <c r="F162" s="5">
        <f t="shared" si="24"/>
        <v>0</v>
      </c>
      <c r="G162" s="5">
        <f t="shared" si="25"/>
        <v>0</v>
      </c>
      <c r="H162" s="489">
        <f t="shared" si="26"/>
        <v>0</v>
      </c>
    </row>
    <row r="163" spans="4:8" ht="18" customHeight="1">
      <c r="D163" s="488">
        <v>215500</v>
      </c>
      <c r="E163" s="5" t="s">
        <v>175</v>
      </c>
      <c r="F163" s="5">
        <f t="shared" si="24"/>
        <v>0</v>
      </c>
      <c r="G163" s="5">
        <f t="shared" si="25"/>
        <v>0</v>
      </c>
      <c r="H163" s="489">
        <f t="shared" si="26"/>
        <v>0</v>
      </c>
    </row>
    <row r="164" spans="4:8" ht="18" customHeight="1">
      <c r="D164" s="488">
        <v>215900</v>
      </c>
      <c r="E164" s="5" t="s">
        <v>176</v>
      </c>
      <c r="F164" s="5">
        <f t="shared" si="24"/>
        <v>0</v>
      </c>
      <c r="G164" s="5">
        <f t="shared" si="25"/>
        <v>0</v>
      </c>
      <c r="H164" s="489">
        <f t="shared" si="26"/>
        <v>0</v>
      </c>
    </row>
    <row r="165" spans="4:8" ht="18" customHeight="1">
      <c r="D165" s="488">
        <v>215700</v>
      </c>
      <c r="E165" s="5" t="s">
        <v>177</v>
      </c>
      <c r="F165" s="5">
        <f t="shared" si="24"/>
        <v>0</v>
      </c>
      <c r="G165" s="5">
        <f t="shared" si="25"/>
        <v>0</v>
      </c>
      <c r="H165" s="489">
        <f t="shared" si="26"/>
        <v>0</v>
      </c>
    </row>
    <row r="166" spans="4:8" ht="18" customHeight="1">
      <c r="D166" s="488">
        <v>215800</v>
      </c>
      <c r="E166" s="5" t="s">
        <v>178</v>
      </c>
      <c r="F166" s="5">
        <f t="shared" si="24"/>
        <v>0</v>
      </c>
      <c r="G166" s="5">
        <f t="shared" si="25"/>
        <v>0</v>
      </c>
      <c r="H166" s="489">
        <f t="shared" si="26"/>
        <v>0</v>
      </c>
    </row>
    <row r="167" spans="4:8" ht="18" customHeight="1">
      <c r="D167" s="488">
        <v>219000</v>
      </c>
      <c r="E167" s="5" t="s">
        <v>179</v>
      </c>
      <c r="F167" s="5">
        <f t="shared" si="24"/>
        <v>0</v>
      </c>
      <c r="G167" s="5">
        <f t="shared" si="25"/>
        <v>0</v>
      </c>
      <c r="H167" s="489">
        <f t="shared" si="26"/>
        <v>0</v>
      </c>
    </row>
    <row r="168" spans="4:8" ht="18" customHeight="1">
      <c r="D168" s="488">
        <v>223100</v>
      </c>
      <c r="E168" s="5" t="s">
        <v>180</v>
      </c>
      <c r="F168" s="5">
        <f t="shared" si="24"/>
        <v>0</v>
      </c>
      <c r="G168" s="5">
        <f t="shared" si="25"/>
        <v>0</v>
      </c>
      <c r="H168" s="489">
        <f t="shared" si="26"/>
        <v>0</v>
      </c>
    </row>
    <row r="169" spans="4:8" ht="18" customHeight="1">
      <c r="D169" s="488">
        <v>223130</v>
      </c>
      <c r="E169" s="5" t="s">
        <v>181</v>
      </c>
      <c r="F169" s="5">
        <f t="shared" si="24"/>
        <v>0</v>
      </c>
      <c r="G169" s="5">
        <f t="shared" si="25"/>
        <v>0</v>
      </c>
      <c r="H169" s="489">
        <f t="shared" si="26"/>
        <v>0</v>
      </c>
    </row>
    <row r="170" spans="4:8" ht="18" customHeight="1">
      <c r="D170" s="483"/>
      <c r="E170" s="484" t="s">
        <v>182</v>
      </c>
      <c r="F170" s="484"/>
      <c r="G170" s="484"/>
      <c r="H170" s="485"/>
    </row>
    <row r="171" spans="4:8" ht="18" customHeight="1">
      <c r="D171" s="488">
        <v>223110</v>
      </c>
      <c r="E171" s="5" t="s">
        <v>182</v>
      </c>
      <c r="F171" s="5">
        <f>SUMIF($J:$J,$D171,L:L)</f>
        <v>0</v>
      </c>
      <c r="G171" s="5">
        <f>SUMIF($J:$J,$D171,M:M)</f>
        <v>0</v>
      </c>
      <c r="H171" s="489">
        <f>F171-G171</f>
        <v>0</v>
      </c>
    </row>
    <row r="172" spans="4:8" ht="18" customHeight="1">
      <c r="D172" s="483"/>
      <c r="E172" s="484" t="s">
        <v>218</v>
      </c>
      <c r="F172" s="484"/>
      <c r="G172" s="484"/>
      <c r="H172" s="485"/>
    </row>
    <row r="173" spans="4:8" ht="18" customHeight="1">
      <c r="D173" s="503" t="s">
        <v>224</v>
      </c>
      <c r="E173" s="5" t="s">
        <v>218</v>
      </c>
      <c r="F173" s="5">
        <f>SUMIF($J:$J,$D173,L:L)</f>
        <v>0</v>
      </c>
      <c r="G173" s="5">
        <f>SUMIF($J:$J,$D173,M:M)</f>
        <v>0</v>
      </c>
      <c r="H173" s="489">
        <f>F173-G173</f>
        <v>0</v>
      </c>
    </row>
    <row r="174" spans="4:8" ht="18" customHeight="1">
      <c r="D174" s="478"/>
      <c r="E174" s="479" t="s">
        <v>183</v>
      </c>
      <c r="F174" s="479"/>
      <c r="G174" s="479"/>
      <c r="H174" s="480"/>
    </row>
    <row r="175" spans="4:8" ht="18" customHeight="1">
      <c r="D175" s="483"/>
      <c r="E175" s="484" t="s">
        <v>184</v>
      </c>
      <c r="F175" s="484"/>
      <c r="G175" s="484"/>
      <c r="H175" s="485"/>
    </row>
    <row r="176" spans="4:8" ht="18" customHeight="1">
      <c r="D176" s="488">
        <v>230700</v>
      </c>
      <c r="E176" s="5" t="s">
        <v>185</v>
      </c>
      <c r="F176" s="5">
        <f>SUMIF($J:$J,$D176,L:L)</f>
        <v>0</v>
      </c>
      <c r="G176" s="5">
        <f>SUMIF($J:$J,$D176,M:M)</f>
        <v>0</v>
      </c>
      <c r="H176" s="489">
        <f>F176-G176</f>
        <v>0</v>
      </c>
    </row>
    <row r="177" spans="4:8" ht="18" customHeight="1">
      <c r="D177" s="488">
        <v>122110</v>
      </c>
      <c r="E177" s="5" t="s">
        <v>186</v>
      </c>
      <c r="F177" s="5">
        <f>SUMIF($J:$J,$D177,L:L)</f>
        <v>0</v>
      </c>
      <c r="G177" s="5">
        <f>SUMIF($J:$J,$D177,M:M)</f>
        <v>0</v>
      </c>
      <c r="H177" s="489">
        <f>F177-G177</f>
        <v>0</v>
      </c>
    </row>
    <row r="178" spans="4:8" ht="18" customHeight="1">
      <c r="D178" s="483"/>
      <c r="E178" s="484" t="s">
        <v>187</v>
      </c>
      <c r="F178" s="484"/>
      <c r="G178" s="484"/>
      <c r="H178" s="485"/>
    </row>
    <row r="179" spans="4:8" ht="18" customHeight="1">
      <c r="D179" s="488">
        <v>230900</v>
      </c>
      <c r="E179" s="5" t="s">
        <v>188</v>
      </c>
      <c r="F179" s="5">
        <f>SUMIF($J:$J,$D179,L:L)</f>
        <v>0</v>
      </c>
      <c r="G179" s="5">
        <f>SUMIF($J:$J,$D179,M:M)</f>
        <v>0</v>
      </c>
      <c r="H179" s="489">
        <f>F179-G179</f>
        <v>0</v>
      </c>
    </row>
    <row r="180" spans="4:8" ht="18" customHeight="1">
      <c r="D180" s="483"/>
      <c r="E180" s="484" t="s">
        <v>189</v>
      </c>
      <c r="F180" s="484"/>
      <c r="G180" s="484"/>
      <c r="H180" s="485"/>
    </row>
    <row r="181" spans="4:8" ht="18" customHeight="1">
      <c r="D181" s="488">
        <v>231600</v>
      </c>
      <c r="E181" s="5" t="s">
        <v>189</v>
      </c>
      <c r="F181" s="5">
        <f>SUMIF($J:$J,$D181,L:L)</f>
        <v>0</v>
      </c>
      <c r="G181" s="5">
        <f>SUMIF($J:$J,$D181,M:M)</f>
        <v>0</v>
      </c>
      <c r="H181" s="489">
        <f>F181-G181</f>
        <v>0</v>
      </c>
    </row>
    <row r="182" spans="4:8" ht="18" customHeight="1">
      <c r="D182" s="472"/>
      <c r="E182" s="473" t="s">
        <v>14</v>
      </c>
      <c r="F182" s="473"/>
      <c r="G182" s="473"/>
      <c r="H182" s="474"/>
    </row>
    <row r="183" spans="4:8" ht="18" customHeight="1">
      <c r="D183" s="478"/>
      <c r="E183" s="479" t="s">
        <v>11</v>
      </c>
      <c r="F183" s="479"/>
      <c r="G183" s="479"/>
      <c r="H183" s="480"/>
    </row>
    <row r="184" spans="4:8" ht="18" customHeight="1">
      <c r="D184" s="483"/>
      <c r="E184" s="484" t="s">
        <v>10</v>
      </c>
      <c r="F184" s="484"/>
      <c r="G184" s="484"/>
      <c r="H184" s="485"/>
    </row>
    <row r="185" spans="4:8" ht="18" customHeight="1">
      <c r="D185" s="488">
        <v>310100</v>
      </c>
      <c r="E185" s="5" t="s">
        <v>190</v>
      </c>
      <c r="F185" s="5">
        <f>SUMIF($J:$J,$D185,L:L)</f>
        <v>0</v>
      </c>
      <c r="G185" s="5">
        <f>SUMIF($J:$J,$D185,M:M)</f>
        <v>0</v>
      </c>
      <c r="H185" s="489">
        <f>F185-G185</f>
        <v>0</v>
      </c>
    </row>
    <row r="186" spans="4:8" ht="18" customHeight="1">
      <c r="D186" s="483"/>
      <c r="E186" s="484" t="s">
        <v>12</v>
      </c>
      <c r="F186" s="484"/>
      <c r="G186" s="484"/>
      <c r="H186" s="485"/>
    </row>
    <row r="187" spans="4:8" ht="18" customHeight="1">
      <c r="D187" s="488">
        <v>320100</v>
      </c>
      <c r="E187" s="5" t="s">
        <v>191</v>
      </c>
      <c r="F187" s="5">
        <f t="shared" ref="F187:G189" si="28">SUMIF($J:$J,$D187,L:L)</f>
        <v>0</v>
      </c>
      <c r="G187" s="5">
        <f t="shared" si="28"/>
        <v>0</v>
      </c>
      <c r="H187" s="489">
        <f>F187-G187</f>
        <v>0</v>
      </c>
    </row>
    <row r="188" spans="4:8" ht="18" customHeight="1">
      <c r="D188" s="488">
        <v>320500</v>
      </c>
      <c r="E188" s="5" t="s">
        <v>192</v>
      </c>
      <c r="F188" s="5">
        <f t="shared" si="28"/>
        <v>0</v>
      </c>
      <c r="G188" s="5">
        <f t="shared" si="28"/>
        <v>0</v>
      </c>
      <c r="H188" s="489">
        <f>F188-G188</f>
        <v>0</v>
      </c>
    </row>
    <row r="189" spans="4:8" ht="18" customHeight="1">
      <c r="D189" s="488">
        <v>320300</v>
      </c>
      <c r="E189" s="5" t="s">
        <v>193</v>
      </c>
      <c r="F189" s="5">
        <f t="shared" si="28"/>
        <v>0</v>
      </c>
      <c r="G189" s="5">
        <f t="shared" si="28"/>
        <v>0</v>
      </c>
      <c r="H189" s="489">
        <f>F189-G189</f>
        <v>0</v>
      </c>
    </row>
    <row r="190" spans="4:8" ht="18" customHeight="1">
      <c r="D190" s="483"/>
      <c r="E190" s="484" t="s">
        <v>194</v>
      </c>
      <c r="F190" s="484"/>
      <c r="G190" s="484"/>
      <c r="H190" s="485"/>
    </row>
    <row r="191" spans="4:8" ht="18" customHeight="1">
      <c r="D191" s="488">
        <v>350300</v>
      </c>
      <c r="E191" s="5" t="s">
        <v>195</v>
      </c>
      <c r="F191" s="5">
        <f t="shared" ref="F191:G198" si="29">SUMIF($J:$J,$D191,L:L)</f>
        <v>0</v>
      </c>
      <c r="G191" s="5">
        <f t="shared" si="29"/>
        <v>0</v>
      </c>
      <c r="H191" s="489">
        <f t="shared" ref="H191:H198" si="30">F191-G191</f>
        <v>0</v>
      </c>
    </row>
    <row r="192" spans="4:8" ht="18" customHeight="1">
      <c r="D192" s="488">
        <v>350350</v>
      </c>
      <c r="E192" s="5" t="s">
        <v>196</v>
      </c>
      <c r="F192" s="5">
        <f t="shared" si="29"/>
        <v>0</v>
      </c>
      <c r="G192" s="5">
        <f t="shared" si="29"/>
        <v>0</v>
      </c>
      <c r="H192" s="489">
        <f t="shared" si="30"/>
        <v>0</v>
      </c>
    </row>
    <row r="193" spans="4:8" ht="18" customHeight="1">
      <c r="D193" s="488" t="s">
        <v>226</v>
      </c>
      <c r="E193" s="5" t="s">
        <v>225</v>
      </c>
      <c r="F193" s="5">
        <f t="shared" si="29"/>
        <v>0</v>
      </c>
      <c r="G193" s="5">
        <f t="shared" si="29"/>
        <v>0</v>
      </c>
      <c r="H193" s="489">
        <f t="shared" si="30"/>
        <v>0</v>
      </c>
    </row>
    <row r="194" spans="4:8" ht="18" customHeight="1">
      <c r="D194" s="488">
        <v>350400</v>
      </c>
      <c r="E194" s="5" t="s">
        <v>197</v>
      </c>
      <c r="F194" s="5">
        <f t="shared" si="29"/>
        <v>0</v>
      </c>
      <c r="G194" s="5">
        <f t="shared" si="29"/>
        <v>0</v>
      </c>
      <c r="H194" s="489">
        <f t="shared" si="30"/>
        <v>0</v>
      </c>
    </row>
    <row r="195" spans="4:8" ht="18" customHeight="1">
      <c r="D195" s="488">
        <v>350210</v>
      </c>
      <c r="E195" s="5" t="s">
        <v>198</v>
      </c>
      <c r="F195" s="5">
        <f t="shared" si="29"/>
        <v>0</v>
      </c>
      <c r="G195" s="5">
        <f t="shared" si="29"/>
        <v>0</v>
      </c>
      <c r="H195" s="489">
        <f t="shared" si="30"/>
        <v>0</v>
      </c>
    </row>
    <row r="196" spans="4:8" ht="18" customHeight="1">
      <c r="D196" s="488" t="s">
        <v>199</v>
      </c>
      <c r="E196" s="5" t="s">
        <v>200</v>
      </c>
      <c r="F196" s="5">
        <f t="shared" si="29"/>
        <v>0</v>
      </c>
      <c r="G196" s="5">
        <f t="shared" si="29"/>
        <v>0</v>
      </c>
      <c r="H196" s="489">
        <f t="shared" si="30"/>
        <v>0</v>
      </c>
    </row>
    <row r="197" spans="4:8" ht="18" customHeight="1">
      <c r="D197" s="488" t="s">
        <v>201</v>
      </c>
      <c r="E197" s="5" t="s">
        <v>202</v>
      </c>
      <c r="F197" s="5">
        <f t="shared" si="29"/>
        <v>0</v>
      </c>
      <c r="G197" s="5">
        <f t="shared" si="29"/>
        <v>0</v>
      </c>
      <c r="H197" s="489">
        <f t="shared" si="30"/>
        <v>0</v>
      </c>
    </row>
    <row r="198" spans="4:8" ht="18" customHeight="1">
      <c r="D198" s="488" t="s">
        <v>203</v>
      </c>
      <c r="E198" s="5" t="s">
        <v>204</v>
      </c>
      <c r="F198" s="5">
        <f t="shared" si="29"/>
        <v>0</v>
      </c>
      <c r="G198" s="5">
        <f t="shared" si="29"/>
        <v>0</v>
      </c>
      <c r="H198" s="489">
        <f t="shared" si="30"/>
        <v>0</v>
      </c>
    </row>
    <row r="199" spans="4:8" ht="18" customHeight="1">
      <c r="D199" s="483"/>
      <c r="E199" s="484" t="s">
        <v>13</v>
      </c>
      <c r="F199" s="484"/>
      <c r="G199" s="484"/>
      <c r="H199" s="485"/>
    </row>
    <row r="200" spans="4:8" ht="18" customHeight="1">
      <c r="D200" s="488">
        <v>350951</v>
      </c>
      <c r="E200" s="5" t="s">
        <v>205</v>
      </c>
      <c r="F200" s="5">
        <f t="shared" ref="F200:G202" si="31">SUMIF($J:$J,$D200,L:L)</f>
        <v>0</v>
      </c>
      <c r="G200" s="5">
        <f t="shared" si="31"/>
        <v>0</v>
      </c>
      <c r="H200" s="489">
        <f>F200-G200</f>
        <v>0</v>
      </c>
    </row>
    <row r="201" spans="4:8" ht="18" customHeight="1">
      <c r="D201" s="488" t="s">
        <v>1356</v>
      </c>
      <c r="E201" s="5" t="s">
        <v>207</v>
      </c>
      <c r="F201" s="5">
        <f t="shared" si="31"/>
        <v>0</v>
      </c>
      <c r="G201" s="5">
        <f t="shared" si="31"/>
        <v>0</v>
      </c>
      <c r="H201" s="489">
        <f>F201-G201</f>
        <v>0</v>
      </c>
    </row>
    <row r="202" spans="4:8" ht="18" customHeight="1">
      <c r="D202" s="488" t="s">
        <v>1357</v>
      </c>
      <c r="E202" s="5" t="s">
        <v>209</v>
      </c>
      <c r="F202" s="5">
        <f t="shared" si="31"/>
        <v>0</v>
      </c>
      <c r="G202" s="5">
        <f t="shared" si="31"/>
        <v>0</v>
      </c>
      <c r="H202" s="489">
        <f>F202-G202</f>
        <v>0</v>
      </c>
    </row>
    <row r="203" spans="4:8" ht="18" customHeight="1">
      <c r="D203" s="478"/>
      <c r="E203" s="479" t="s">
        <v>210</v>
      </c>
      <c r="F203" s="479"/>
      <c r="G203" s="479"/>
      <c r="H203" s="480"/>
    </row>
    <row r="204" spans="4:8" ht="18" customHeight="1">
      <c r="D204" s="488" t="s">
        <v>493</v>
      </c>
      <c r="E204" s="4" t="s">
        <v>210</v>
      </c>
      <c r="F204" s="4">
        <f>SUMIF($J:$J,$D204,L:L)</f>
        <v>0</v>
      </c>
      <c r="G204" s="4">
        <f>SUMIF($J:$J,$D204,M:M)</f>
        <v>0</v>
      </c>
      <c r="H204" s="489">
        <f>F204-G204</f>
        <v>0</v>
      </c>
    </row>
    <row r="205" spans="4:8" ht="18" customHeight="1" thickBot="1">
      <c r="D205" s="504"/>
      <c r="E205" s="505" t="s">
        <v>212</v>
      </c>
      <c r="F205" s="505"/>
      <c r="G205" s="505"/>
      <c r="H205" s="506"/>
    </row>
    <row r="206" spans="4:8" ht="18" customHeight="1">
      <c r="D206" s="507"/>
      <c r="F206" s="5">
        <f>SUM(F5:F205)</f>
        <v>1090735376</v>
      </c>
      <c r="G206" s="5">
        <f>SUM(G5:G205)</f>
        <v>1090735376</v>
      </c>
    </row>
    <row r="207" spans="4:8" ht="18" customHeight="1">
      <c r="D207" s="507"/>
    </row>
    <row r="208" spans="4:8" ht="18" customHeight="1" thickBot="1">
      <c r="D208" s="508" t="s">
        <v>409</v>
      </c>
      <c r="H208" s="5">
        <f>SUM(H210:H311)</f>
        <v>0</v>
      </c>
    </row>
    <row r="209" spans="4:8" ht="18" customHeight="1">
      <c r="D209" s="509" t="s">
        <v>16</v>
      </c>
      <c r="E209" s="468" t="s">
        <v>19</v>
      </c>
      <c r="F209" s="468" t="s">
        <v>405</v>
      </c>
      <c r="G209" s="468" t="s">
        <v>406</v>
      </c>
      <c r="H209" s="469" t="s">
        <v>407</v>
      </c>
    </row>
    <row r="210" spans="4:8" ht="18" customHeight="1">
      <c r="D210" s="478"/>
      <c r="E210" s="510" t="s">
        <v>228</v>
      </c>
      <c r="F210" s="511"/>
      <c r="G210" s="511"/>
      <c r="H210" s="512"/>
    </row>
    <row r="211" spans="4:8" ht="18" customHeight="1">
      <c r="D211" s="488">
        <v>410100</v>
      </c>
      <c r="E211" s="5" t="s">
        <v>613</v>
      </c>
      <c r="F211" s="5">
        <f t="shared" ref="F211:F226" si="32">SUMIF($J:$J,$D211,L:L)</f>
        <v>0</v>
      </c>
      <c r="G211" s="5">
        <f t="shared" ref="G211:G226" si="33">SUMIF($J:$J,$D211,M:M)</f>
        <v>0</v>
      </c>
      <c r="H211" s="489">
        <f>F211-G211</f>
        <v>0</v>
      </c>
    </row>
    <row r="212" spans="4:8" ht="18" customHeight="1">
      <c r="D212" s="488">
        <v>410120</v>
      </c>
      <c r="E212" s="5" t="s">
        <v>614</v>
      </c>
      <c r="F212" s="5">
        <f t="shared" si="32"/>
        <v>0</v>
      </c>
      <c r="G212" s="5">
        <f t="shared" si="33"/>
        <v>0</v>
      </c>
      <c r="H212" s="489">
        <f t="shared" ref="H212:H226" si="34">F212-G212</f>
        <v>0</v>
      </c>
    </row>
    <row r="213" spans="4:8" ht="18" customHeight="1">
      <c r="D213" s="488">
        <v>410130</v>
      </c>
      <c r="E213" s="5" t="s">
        <v>615</v>
      </c>
      <c r="F213" s="5">
        <f t="shared" si="32"/>
        <v>101817233</v>
      </c>
      <c r="G213" s="5">
        <f t="shared" si="33"/>
        <v>0</v>
      </c>
      <c r="H213" s="489">
        <f t="shared" si="34"/>
        <v>101817233</v>
      </c>
    </row>
    <row r="214" spans="4:8" ht="18" customHeight="1">
      <c r="D214" s="488">
        <v>410140</v>
      </c>
      <c r="E214" s="5" t="s">
        <v>616</v>
      </c>
      <c r="F214" s="5">
        <f t="shared" si="32"/>
        <v>0</v>
      </c>
      <c r="G214" s="5">
        <f t="shared" si="33"/>
        <v>0</v>
      </c>
      <c r="H214" s="489">
        <f t="shared" si="34"/>
        <v>0</v>
      </c>
    </row>
    <row r="215" spans="4:8" ht="18" customHeight="1">
      <c r="D215" s="488">
        <v>410200</v>
      </c>
      <c r="E215" s="5" t="s">
        <v>617</v>
      </c>
      <c r="F215" s="5">
        <f t="shared" si="32"/>
        <v>0</v>
      </c>
      <c r="G215" s="5">
        <f t="shared" si="33"/>
        <v>0</v>
      </c>
      <c r="H215" s="489">
        <f t="shared" si="34"/>
        <v>0</v>
      </c>
    </row>
    <row r="216" spans="4:8" ht="18" customHeight="1">
      <c r="D216" s="488">
        <v>410220</v>
      </c>
      <c r="E216" s="5" t="s">
        <v>618</v>
      </c>
      <c r="F216" s="5">
        <f t="shared" si="32"/>
        <v>0</v>
      </c>
      <c r="G216" s="5">
        <f t="shared" si="33"/>
        <v>0</v>
      </c>
      <c r="H216" s="489">
        <f t="shared" si="34"/>
        <v>0</v>
      </c>
    </row>
    <row r="217" spans="4:8" ht="18" customHeight="1">
      <c r="D217" s="488">
        <v>410230</v>
      </c>
      <c r="E217" s="5" t="s">
        <v>619</v>
      </c>
      <c r="F217" s="5">
        <f t="shared" si="32"/>
        <v>0</v>
      </c>
      <c r="G217" s="5">
        <f t="shared" si="33"/>
        <v>0</v>
      </c>
      <c r="H217" s="489">
        <f t="shared" si="34"/>
        <v>0</v>
      </c>
    </row>
    <row r="218" spans="4:8" ht="18" customHeight="1">
      <c r="D218" s="488">
        <v>410240</v>
      </c>
      <c r="E218" s="5" t="s">
        <v>620</v>
      </c>
      <c r="F218" s="5">
        <f t="shared" si="32"/>
        <v>222095445</v>
      </c>
      <c r="G218" s="5">
        <f t="shared" si="33"/>
        <v>0</v>
      </c>
      <c r="H218" s="489">
        <f t="shared" si="34"/>
        <v>222095445</v>
      </c>
    </row>
    <row r="219" spans="4:8" ht="18" customHeight="1">
      <c r="D219" s="488">
        <v>410241</v>
      </c>
      <c r="E219" s="5" t="s">
        <v>621</v>
      </c>
      <c r="F219" s="5">
        <f t="shared" si="32"/>
        <v>0</v>
      </c>
      <c r="G219" s="5">
        <f t="shared" si="33"/>
        <v>0</v>
      </c>
      <c r="H219" s="489">
        <f t="shared" si="34"/>
        <v>0</v>
      </c>
    </row>
    <row r="220" spans="4:8" ht="18" customHeight="1">
      <c r="D220" s="488">
        <v>410610</v>
      </c>
      <c r="E220" s="5" t="s">
        <v>231</v>
      </c>
      <c r="F220" s="5">
        <f t="shared" si="32"/>
        <v>0</v>
      </c>
      <c r="G220" s="5">
        <f t="shared" si="33"/>
        <v>0</v>
      </c>
      <c r="H220" s="489">
        <f t="shared" si="34"/>
        <v>0</v>
      </c>
    </row>
    <row r="221" spans="4:8" ht="18" customHeight="1">
      <c r="D221" s="488">
        <v>410620</v>
      </c>
      <c r="E221" s="5" t="s">
        <v>232</v>
      </c>
      <c r="F221" s="5">
        <f t="shared" si="32"/>
        <v>0</v>
      </c>
      <c r="G221" s="5">
        <f t="shared" si="33"/>
        <v>0</v>
      </c>
      <c r="H221" s="489">
        <f t="shared" si="34"/>
        <v>0</v>
      </c>
    </row>
    <row r="222" spans="4:8" ht="18" customHeight="1">
      <c r="D222" s="488">
        <v>410630</v>
      </c>
      <c r="E222" s="5" t="s">
        <v>233</v>
      </c>
      <c r="F222" s="5">
        <f t="shared" si="32"/>
        <v>0</v>
      </c>
      <c r="G222" s="5">
        <f t="shared" si="33"/>
        <v>0</v>
      </c>
      <c r="H222" s="489">
        <f t="shared" si="34"/>
        <v>0</v>
      </c>
    </row>
    <row r="223" spans="4:8" ht="18" customHeight="1">
      <c r="D223" s="488">
        <v>410640</v>
      </c>
      <c r="E223" s="5" t="s">
        <v>234</v>
      </c>
      <c r="F223" s="5">
        <f t="shared" si="32"/>
        <v>0</v>
      </c>
      <c r="G223" s="5">
        <f t="shared" si="33"/>
        <v>0</v>
      </c>
      <c r="H223" s="489">
        <f t="shared" si="34"/>
        <v>0</v>
      </c>
    </row>
    <row r="224" spans="4:8" ht="18" customHeight="1">
      <c r="D224" s="488">
        <v>410650</v>
      </c>
      <c r="E224" s="5" t="s">
        <v>235</v>
      </c>
      <c r="F224" s="5">
        <f t="shared" si="32"/>
        <v>0</v>
      </c>
      <c r="G224" s="5">
        <f t="shared" si="33"/>
        <v>0</v>
      </c>
      <c r="H224" s="489">
        <f t="shared" si="34"/>
        <v>0</v>
      </c>
    </row>
    <row r="225" spans="4:8" ht="18" customHeight="1">
      <c r="D225" s="488">
        <v>410660</v>
      </c>
      <c r="E225" s="5" t="s">
        <v>236</v>
      </c>
      <c r="F225" s="5">
        <f t="shared" si="32"/>
        <v>0</v>
      </c>
      <c r="G225" s="5">
        <f t="shared" si="33"/>
        <v>0</v>
      </c>
      <c r="H225" s="489">
        <f t="shared" si="34"/>
        <v>0</v>
      </c>
    </row>
    <row r="226" spans="4:8" ht="18" customHeight="1">
      <c r="D226" s="488">
        <v>410899</v>
      </c>
      <c r="E226" s="5" t="s">
        <v>237</v>
      </c>
      <c r="F226" s="5">
        <f t="shared" si="32"/>
        <v>0</v>
      </c>
      <c r="G226" s="5">
        <f t="shared" si="33"/>
        <v>0</v>
      </c>
      <c r="H226" s="489">
        <f t="shared" si="34"/>
        <v>0</v>
      </c>
    </row>
    <row r="227" spans="4:8" ht="18" customHeight="1">
      <c r="D227" s="478"/>
      <c r="E227" s="479" t="s">
        <v>238</v>
      </c>
      <c r="F227" s="479"/>
      <c r="G227" s="479"/>
      <c r="H227" s="480"/>
    </row>
    <row r="228" spans="4:8" ht="18" customHeight="1">
      <c r="D228" s="488" t="s">
        <v>239</v>
      </c>
      <c r="E228" s="5" t="s">
        <v>240</v>
      </c>
      <c r="F228" s="5">
        <f t="shared" ref="F228:F236" si="35">SUMIF($J:$J,$D228,L:L)</f>
        <v>0</v>
      </c>
      <c r="G228" s="5">
        <f t="shared" ref="G228:G236" si="36">SUMIF($J:$J,$D228,M:M)</f>
        <v>101817233</v>
      </c>
      <c r="H228" s="489">
        <f t="shared" ref="H228:H236" si="37">F228-G228</f>
        <v>-101817233</v>
      </c>
    </row>
    <row r="229" spans="4:8" ht="18" customHeight="1">
      <c r="D229" s="488" t="s">
        <v>241</v>
      </c>
      <c r="E229" s="5" t="s">
        <v>242</v>
      </c>
      <c r="F229" s="5">
        <f t="shared" si="35"/>
        <v>0</v>
      </c>
      <c r="G229" s="5">
        <f t="shared" si="36"/>
        <v>222095445</v>
      </c>
      <c r="H229" s="489">
        <f t="shared" si="37"/>
        <v>-222095445</v>
      </c>
    </row>
    <row r="230" spans="4:8" ht="18" customHeight="1">
      <c r="D230" s="488" t="s">
        <v>243</v>
      </c>
      <c r="E230" s="5" t="s">
        <v>244</v>
      </c>
      <c r="F230" s="5">
        <f t="shared" si="35"/>
        <v>0</v>
      </c>
      <c r="G230" s="5">
        <f t="shared" si="36"/>
        <v>0</v>
      </c>
      <c r="H230" s="489">
        <f t="shared" si="37"/>
        <v>0</v>
      </c>
    </row>
    <row r="231" spans="4:8" ht="18" customHeight="1">
      <c r="D231" s="488" t="s">
        <v>245</v>
      </c>
      <c r="E231" s="5" t="s">
        <v>246</v>
      </c>
      <c r="F231" s="5">
        <f t="shared" si="35"/>
        <v>0</v>
      </c>
      <c r="G231" s="5">
        <f t="shared" si="36"/>
        <v>0</v>
      </c>
      <c r="H231" s="489">
        <f t="shared" si="37"/>
        <v>0</v>
      </c>
    </row>
    <row r="232" spans="4:8" ht="18" customHeight="1">
      <c r="D232" s="488" t="s">
        <v>247</v>
      </c>
      <c r="E232" s="5" t="s">
        <v>248</v>
      </c>
      <c r="F232" s="5">
        <f t="shared" si="35"/>
        <v>0</v>
      </c>
      <c r="G232" s="5">
        <f t="shared" si="36"/>
        <v>0</v>
      </c>
      <c r="H232" s="489">
        <f t="shared" si="37"/>
        <v>0</v>
      </c>
    </row>
    <row r="233" spans="4:8" ht="18" customHeight="1">
      <c r="D233" s="488" t="s">
        <v>249</v>
      </c>
      <c r="E233" s="5" t="s">
        <v>250</v>
      </c>
      <c r="F233" s="5">
        <f t="shared" si="35"/>
        <v>0</v>
      </c>
      <c r="G233" s="5">
        <f t="shared" si="36"/>
        <v>0</v>
      </c>
      <c r="H233" s="489">
        <f t="shared" si="37"/>
        <v>0</v>
      </c>
    </row>
    <row r="234" spans="4:8" ht="18" customHeight="1">
      <c r="D234" s="488" t="s">
        <v>251</v>
      </c>
      <c r="E234" s="5" t="s">
        <v>252</v>
      </c>
      <c r="F234" s="5">
        <f t="shared" si="35"/>
        <v>0</v>
      </c>
      <c r="G234" s="5">
        <f t="shared" si="36"/>
        <v>0</v>
      </c>
      <c r="H234" s="489">
        <f t="shared" si="37"/>
        <v>0</v>
      </c>
    </row>
    <row r="235" spans="4:8" ht="18" customHeight="1">
      <c r="D235" s="488" t="s">
        <v>253</v>
      </c>
      <c r="E235" s="5" t="s">
        <v>254</v>
      </c>
      <c r="F235" s="5">
        <f t="shared" si="35"/>
        <v>0</v>
      </c>
      <c r="G235" s="5">
        <f t="shared" si="36"/>
        <v>0</v>
      </c>
      <c r="H235" s="489">
        <f t="shared" si="37"/>
        <v>0</v>
      </c>
    </row>
    <row r="236" spans="4:8" ht="18" customHeight="1">
      <c r="D236" s="488" t="s">
        <v>255</v>
      </c>
      <c r="E236" s="5" t="s">
        <v>256</v>
      </c>
      <c r="F236" s="5">
        <f t="shared" si="35"/>
        <v>0</v>
      </c>
      <c r="G236" s="5">
        <f t="shared" si="36"/>
        <v>0</v>
      </c>
      <c r="H236" s="489">
        <f t="shared" si="37"/>
        <v>0</v>
      </c>
    </row>
    <row r="237" spans="4:8" ht="18" customHeight="1">
      <c r="D237" s="478"/>
      <c r="E237" s="479" t="s">
        <v>257</v>
      </c>
      <c r="F237" s="479"/>
      <c r="G237" s="479"/>
      <c r="H237" s="480"/>
    </row>
    <row r="238" spans="4:8" ht="18" customHeight="1">
      <c r="D238" s="478"/>
      <c r="E238" s="479" t="s">
        <v>258</v>
      </c>
      <c r="F238" s="479"/>
      <c r="G238" s="479"/>
      <c r="H238" s="480"/>
    </row>
    <row r="239" spans="4:8" ht="18" customHeight="1">
      <c r="D239" s="488" t="s">
        <v>259</v>
      </c>
      <c r="E239" s="5" t="s">
        <v>260</v>
      </c>
      <c r="F239" s="5">
        <f t="shared" ref="F239:F267" si="38">SUMIF($J:$J,$D239,L:L)</f>
        <v>0</v>
      </c>
      <c r="G239" s="5">
        <f t="shared" ref="G239:G267" si="39">SUMIF($J:$J,$D239,M:M)</f>
        <v>0</v>
      </c>
      <c r="H239" s="489">
        <f t="shared" ref="H239:H267" si="40">F239-G239</f>
        <v>0</v>
      </c>
    </row>
    <row r="240" spans="4:8" ht="18" customHeight="1">
      <c r="D240" s="488" t="s">
        <v>261</v>
      </c>
      <c r="E240" s="5" t="s">
        <v>262</v>
      </c>
      <c r="F240" s="5">
        <f t="shared" si="38"/>
        <v>0</v>
      </c>
      <c r="G240" s="5">
        <f t="shared" si="39"/>
        <v>0</v>
      </c>
      <c r="H240" s="489">
        <f t="shared" si="40"/>
        <v>0</v>
      </c>
    </row>
    <row r="241" spans="4:8" ht="18" customHeight="1">
      <c r="D241" s="488" t="s">
        <v>263</v>
      </c>
      <c r="E241" s="5" t="s">
        <v>264</v>
      </c>
      <c r="F241" s="5">
        <f t="shared" si="38"/>
        <v>0</v>
      </c>
      <c r="G241" s="5">
        <f t="shared" si="39"/>
        <v>0</v>
      </c>
      <c r="H241" s="489">
        <f t="shared" si="40"/>
        <v>0</v>
      </c>
    </row>
    <row r="242" spans="4:8" ht="18" customHeight="1">
      <c r="D242" s="488" t="s">
        <v>265</v>
      </c>
      <c r="E242" s="5" t="s">
        <v>266</v>
      </c>
      <c r="F242" s="5">
        <f t="shared" si="38"/>
        <v>0</v>
      </c>
      <c r="G242" s="5">
        <f t="shared" si="39"/>
        <v>0</v>
      </c>
      <c r="H242" s="489">
        <f t="shared" si="40"/>
        <v>0</v>
      </c>
    </row>
    <row r="243" spans="4:8" ht="18" customHeight="1">
      <c r="D243" s="488" t="s">
        <v>267</v>
      </c>
      <c r="E243" s="5" t="s">
        <v>268</v>
      </c>
      <c r="F243" s="5">
        <f t="shared" si="38"/>
        <v>0</v>
      </c>
      <c r="G243" s="5">
        <f t="shared" si="39"/>
        <v>0</v>
      </c>
      <c r="H243" s="489">
        <f t="shared" si="40"/>
        <v>0</v>
      </c>
    </row>
    <row r="244" spans="4:8" ht="18" customHeight="1">
      <c r="D244" s="488" t="s">
        <v>269</v>
      </c>
      <c r="E244" s="5" t="s">
        <v>270</v>
      </c>
      <c r="F244" s="5">
        <f t="shared" si="38"/>
        <v>0</v>
      </c>
      <c r="G244" s="5">
        <f t="shared" si="39"/>
        <v>0</v>
      </c>
      <c r="H244" s="489">
        <f t="shared" si="40"/>
        <v>0</v>
      </c>
    </row>
    <row r="245" spans="4:8" ht="18" customHeight="1">
      <c r="D245" s="488" t="s">
        <v>271</v>
      </c>
      <c r="E245" s="5" t="s">
        <v>272</v>
      </c>
      <c r="F245" s="5">
        <f t="shared" si="38"/>
        <v>0</v>
      </c>
      <c r="G245" s="5">
        <f t="shared" si="39"/>
        <v>0</v>
      </c>
      <c r="H245" s="489">
        <f t="shared" si="40"/>
        <v>0</v>
      </c>
    </row>
    <row r="246" spans="4:8" ht="18" customHeight="1">
      <c r="D246" s="488" t="s">
        <v>273</v>
      </c>
      <c r="E246" s="5" t="s">
        <v>274</v>
      </c>
      <c r="F246" s="5">
        <f t="shared" si="38"/>
        <v>0</v>
      </c>
      <c r="G246" s="5">
        <f t="shared" si="39"/>
        <v>0</v>
      </c>
      <c r="H246" s="489">
        <f t="shared" si="40"/>
        <v>0</v>
      </c>
    </row>
    <row r="247" spans="4:8" ht="18" customHeight="1">
      <c r="D247" s="488" t="s">
        <v>389</v>
      </c>
      <c r="E247" s="5" t="s">
        <v>385</v>
      </c>
      <c r="F247" s="5">
        <f t="shared" si="38"/>
        <v>0</v>
      </c>
      <c r="G247" s="5">
        <f t="shared" si="39"/>
        <v>0</v>
      </c>
      <c r="H247" s="489">
        <f t="shared" si="40"/>
        <v>0</v>
      </c>
    </row>
    <row r="248" spans="4:8" ht="18" customHeight="1">
      <c r="D248" s="488" t="s">
        <v>390</v>
      </c>
      <c r="E248" s="5" t="s">
        <v>386</v>
      </c>
      <c r="F248" s="5">
        <f t="shared" si="38"/>
        <v>0</v>
      </c>
      <c r="G248" s="5">
        <f t="shared" si="39"/>
        <v>0</v>
      </c>
      <c r="H248" s="489">
        <f t="shared" si="40"/>
        <v>0</v>
      </c>
    </row>
    <row r="249" spans="4:8" ht="18" customHeight="1">
      <c r="D249" s="488" t="s">
        <v>275</v>
      </c>
      <c r="E249" s="5" t="s">
        <v>276</v>
      </c>
      <c r="F249" s="5">
        <f t="shared" si="38"/>
        <v>0</v>
      </c>
      <c r="G249" s="5">
        <f t="shared" si="39"/>
        <v>0</v>
      </c>
      <c r="H249" s="489">
        <f t="shared" si="40"/>
        <v>0</v>
      </c>
    </row>
    <row r="250" spans="4:8" ht="18" customHeight="1">
      <c r="D250" s="488" t="s">
        <v>277</v>
      </c>
      <c r="E250" s="5" t="s">
        <v>278</v>
      </c>
      <c r="F250" s="5">
        <f t="shared" si="38"/>
        <v>0</v>
      </c>
      <c r="G250" s="5">
        <f t="shared" si="39"/>
        <v>0</v>
      </c>
      <c r="H250" s="489">
        <f t="shared" si="40"/>
        <v>0</v>
      </c>
    </row>
    <row r="251" spans="4:8" ht="18" customHeight="1">
      <c r="D251" s="488" t="s">
        <v>279</v>
      </c>
      <c r="E251" s="5" t="s">
        <v>280</v>
      </c>
      <c r="F251" s="5">
        <f t="shared" si="38"/>
        <v>0</v>
      </c>
      <c r="G251" s="5">
        <f t="shared" si="39"/>
        <v>0</v>
      </c>
      <c r="H251" s="489">
        <f t="shared" si="40"/>
        <v>0</v>
      </c>
    </row>
    <row r="252" spans="4:8" ht="18" customHeight="1">
      <c r="D252" s="488" t="s">
        <v>281</v>
      </c>
      <c r="E252" s="5" t="s">
        <v>282</v>
      </c>
      <c r="F252" s="5">
        <f t="shared" si="38"/>
        <v>0</v>
      </c>
      <c r="G252" s="5">
        <f t="shared" si="39"/>
        <v>0</v>
      </c>
      <c r="H252" s="489">
        <f t="shared" si="40"/>
        <v>0</v>
      </c>
    </row>
    <row r="253" spans="4:8" ht="18" customHeight="1">
      <c r="D253" s="488" t="s">
        <v>283</v>
      </c>
      <c r="E253" s="5" t="s">
        <v>284</v>
      </c>
      <c r="F253" s="5">
        <f t="shared" si="38"/>
        <v>0</v>
      </c>
      <c r="G253" s="5">
        <f t="shared" si="39"/>
        <v>0</v>
      </c>
      <c r="H253" s="489">
        <f t="shared" si="40"/>
        <v>0</v>
      </c>
    </row>
    <row r="254" spans="4:8" ht="18" customHeight="1">
      <c r="D254" s="488" t="s">
        <v>285</v>
      </c>
      <c r="E254" s="5" t="s">
        <v>286</v>
      </c>
      <c r="F254" s="5">
        <f t="shared" si="38"/>
        <v>0</v>
      </c>
      <c r="G254" s="5">
        <f t="shared" si="39"/>
        <v>0</v>
      </c>
      <c r="H254" s="489">
        <f t="shared" si="40"/>
        <v>0</v>
      </c>
    </row>
    <row r="255" spans="4:8" ht="18" customHeight="1">
      <c r="D255" s="488" t="s">
        <v>287</v>
      </c>
      <c r="E255" s="5" t="s">
        <v>288</v>
      </c>
      <c r="F255" s="5">
        <f t="shared" si="38"/>
        <v>0</v>
      </c>
      <c r="G255" s="5">
        <f t="shared" si="39"/>
        <v>0</v>
      </c>
      <c r="H255" s="489">
        <f t="shared" si="40"/>
        <v>0</v>
      </c>
    </row>
    <row r="256" spans="4:8" ht="18" customHeight="1">
      <c r="D256" s="488" t="s">
        <v>289</v>
      </c>
      <c r="E256" s="5" t="s">
        <v>290</v>
      </c>
      <c r="F256" s="5">
        <f t="shared" si="38"/>
        <v>0</v>
      </c>
      <c r="G256" s="5">
        <f t="shared" si="39"/>
        <v>0</v>
      </c>
      <c r="H256" s="489">
        <f t="shared" si="40"/>
        <v>0</v>
      </c>
    </row>
    <row r="257" spans="4:8" ht="18" customHeight="1">
      <c r="D257" s="488" t="s">
        <v>291</v>
      </c>
      <c r="E257" s="5" t="s">
        <v>292</v>
      </c>
      <c r="F257" s="5">
        <f t="shared" si="38"/>
        <v>0</v>
      </c>
      <c r="G257" s="5">
        <f t="shared" si="39"/>
        <v>0</v>
      </c>
      <c r="H257" s="489">
        <f t="shared" si="40"/>
        <v>0</v>
      </c>
    </row>
    <row r="258" spans="4:8" ht="18" customHeight="1">
      <c r="D258" s="488" t="s">
        <v>293</v>
      </c>
      <c r="E258" s="5" t="s">
        <v>294</v>
      </c>
      <c r="F258" s="5">
        <f t="shared" si="38"/>
        <v>0</v>
      </c>
      <c r="G258" s="5">
        <f t="shared" si="39"/>
        <v>0</v>
      </c>
      <c r="H258" s="489">
        <f t="shared" si="40"/>
        <v>0</v>
      </c>
    </row>
    <row r="259" spans="4:8" ht="18" customHeight="1">
      <c r="D259" s="488" t="s">
        <v>295</v>
      </c>
      <c r="E259" s="5" t="s">
        <v>296</v>
      </c>
      <c r="F259" s="5">
        <f t="shared" si="38"/>
        <v>0</v>
      </c>
      <c r="G259" s="5">
        <f t="shared" si="39"/>
        <v>0</v>
      </c>
      <c r="H259" s="489">
        <f t="shared" si="40"/>
        <v>0</v>
      </c>
    </row>
    <row r="260" spans="4:8" ht="18" customHeight="1">
      <c r="D260" s="488" t="s">
        <v>297</v>
      </c>
      <c r="E260" s="5" t="s">
        <v>298</v>
      </c>
      <c r="F260" s="5">
        <f t="shared" si="38"/>
        <v>0</v>
      </c>
      <c r="G260" s="5">
        <f t="shared" si="39"/>
        <v>0</v>
      </c>
      <c r="H260" s="489">
        <f t="shared" si="40"/>
        <v>0</v>
      </c>
    </row>
    <row r="261" spans="4:8" ht="18" customHeight="1">
      <c r="D261" s="488" t="s">
        <v>299</v>
      </c>
      <c r="E261" s="5" t="s">
        <v>300</v>
      </c>
      <c r="F261" s="5">
        <f t="shared" si="38"/>
        <v>0</v>
      </c>
      <c r="G261" s="5">
        <f t="shared" si="39"/>
        <v>0</v>
      </c>
      <c r="H261" s="489">
        <f t="shared" si="40"/>
        <v>0</v>
      </c>
    </row>
    <row r="262" spans="4:8" ht="18" customHeight="1">
      <c r="D262" s="488" t="s">
        <v>301</v>
      </c>
      <c r="E262" s="5" t="s">
        <v>302</v>
      </c>
      <c r="F262" s="5">
        <f t="shared" si="38"/>
        <v>0</v>
      </c>
      <c r="G262" s="5">
        <f t="shared" si="39"/>
        <v>0</v>
      </c>
      <c r="H262" s="489">
        <f t="shared" si="40"/>
        <v>0</v>
      </c>
    </row>
    <row r="263" spans="4:8" ht="18" customHeight="1">
      <c r="D263" s="488" t="s">
        <v>303</v>
      </c>
      <c r="E263" s="5" t="s">
        <v>304</v>
      </c>
      <c r="F263" s="5">
        <f t="shared" si="38"/>
        <v>0</v>
      </c>
      <c r="G263" s="5">
        <f t="shared" si="39"/>
        <v>0</v>
      </c>
      <c r="H263" s="489">
        <f t="shared" si="40"/>
        <v>0</v>
      </c>
    </row>
    <row r="264" spans="4:8" ht="18" customHeight="1">
      <c r="D264" s="488" t="s">
        <v>305</v>
      </c>
      <c r="E264" s="5" t="s">
        <v>306</v>
      </c>
      <c r="F264" s="5">
        <f t="shared" si="38"/>
        <v>0</v>
      </c>
      <c r="G264" s="5">
        <f t="shared" si="39"/>
        <v>0</v>
      </c>
      <c r="H264" s="489">
        <f t="shared" si="40"/>
        <v>0</v>
      </c>
    </row>
    <row r="265" spans="4:8" ht="18" customHeight="1">
      <c r="D265" s="488" t="s">
        <v>307</v>
      </c>
      <c r="E265" s="5" t="s">
        <v>308</v>
      </c>
      <c r="F265" s="5">
        <f t="shared" si="38"/>
        <v>0</v>
      </c>
      <c r="G265" s="5">
        <f t="shared" si="39"/>
        <v>0</v>
      </c>
      <c r="H265" s="489">
        <f t="shared" si="40"/>
        <v>0</v>
      </c>
    </row>
    <row r="266" spans="4:8" ht="18" customHeight="1">
      <c r="D266" s="488" t="s">
        <v>309</v>
      </c>
      <c r="E266" s="5" t="s">
        <v>310</v>
      </c>
      <c r="F266" s="5">
        <f t="shared" si="38"/>
        <v>0</v>
      </c>
      <c r="G266" s="5">
        <f t="shared" si="39"/>
        <v>0</v>
      </c>
      <c r="H266" s="489">
        <f t="shared" si="40"/>
        <v>0</v>
      </c>
    </row>
    <row r="267" spans="4:8" ht="18" customHeight="1">
      <c r="D267" s="488" t="s">
        <v>311</v>
      </c>
      <c r="E267" s="5" t="s">
        <v>312</v>
      </c>
      <c r="F267" s="5">
        <f t="shared" si="38"/>
        <v>0</v>
      </c>
      <c r="G267" s="5">
        <f t="shared" si="39"/>
        <v>0</v>
      </c>
      <c r="H267" s="489">
        <f t="shared" si="40"/>
        <v>0</v>
      </c>
    </row>
    <row r="268" spans="4:8" ht="18" customHeight="1">
      <c r="D268" s="478"/>
      <c r="E268" s="479" t="s">
        <v>313</v>
      </c>
      <c r="F268" s="479"/>
      <c r="G268" s="479"/>
      <c r="H268" s="480"/>
    </row>
    <row r="269" spans="4:8" ht="18" customHeight="1">
      <c r="D269" s="483"/>
      <c r="E269" s="484" t="s">
        <v>314</v>
      </c>
      <c r="F269" s="484"/>
      <c r="G269" s="484"/>
      <c r="H269" s="485"/>
    </row>
    <row r="270" spans="4:8" ht="18" customHeight="1">
      <c r="D270" s="488" t="s">
        <v>315</v>
      </c>
      <c r="E270" s="5" t="s">
        <v>316</v>
      </c>
      <c r="F270" s="5">
        <f t="shared" ref="F270:F278" si="41">SUMIF($J:$J,$D270,L:L)</f>
        <v>0</v>
      </c>
      <c r="G270" s="5">
        <f t="shared" ref="G270:G278" si="42">SUMIF($J:$J,$D270,M:M)</f>
        <v>0</v>
      </c>
      <c r="H270" s="489">
        <f t="shared" ref="H270:H305" si="43">F270-G270</f>
        <v>0</v>
      </c>
    </row>
    <row r="271" spans="4:8" ht="18" customHeight="1">
      <c r="D271" s="488" t="s">
        <v>317</v>
      </c>
      <c r="E271" s="5" t="s">
        <v>318</v>
      </c>
      <c r="F271" s="5">
        <f t="shared" si="41"/>
        <v>8564195</v>
      </c>
      <c r="G271" s="5">
        <f t="shared" si="42"/>
        <v>0</v>
      </c>
      <c r="H271" s="489">
        <f t="shared" si="43"/>
        <v>8564195</v>
      </c>
    </row>
    <row r="272" spans="4:8" ht="18" customHeight="1">
      <c r="D272" s="488" t="s">
        <v>319</v>
      </c>
      <c r="E272" s="5" t="s">
        <v>320</v>
      </c>
      <c r="F272" s="5">
        <f t="shared" si="41"/>
        <v>0</v>
      </c>
      <c r="G272" s="5">
        <f t="shared" si="42"/>
        <v>0</v>
      </c>
      <c r="H272" s="489">
        <f t="shared" si="43"/>
        <v>0</v>
      </c>
    </row>
    <row r="273" spans="4:8" ht="18" customHeight="1">
      <c r="D273" s="488" t="s">
        <v>321</v>
      </c>
      <c r="E273" s="5" t="s">
        <v>322</v>
      </c>
      <c r="F273" s="5">
        <f t="shared" si="41"/>
        <v>0</v>
      </c>
      <c r="G273" s="5">
        <f t="shared" si="42"/>
        <v>0</v>
      </c>
      <c r="H273" s="489">
        <f t="shared" si="43"/>
        <v>0</v>
      </c>
    </row>
    <row r="274" spans="4:8" ht="18" customHeight="1">
      <c r="D274" s="488" t="s">
        <v>323</v>
      </c>
      <c r="E274" s="5" t="s">
        <v>324</v>
      </c>
      <c r="F274" s="5">
        <f t="shared" si="41"/>
        <v>0</v>
      </c>
      <c r="G274" s="5">
        <f t="shared" si="42"/>
        <v>0</v>
      </c>
      <c r="H274" s="489">
        <f t="shared" si="43"/>
        <v>0</v>
      </c>
    </row>
    <row r="275" spans="4:8" ht="18" customHeight="1">
      <c r="D275" s="488" t="s">
        <v>325</v>
      </c>
      <c r="E275" s="5" t="s">
        <v>326</v>
      </c>
      <c r="F275" s="5">
        <f t="shared" si="41"/>
        <v>0</v>
      </c>
      <c r="G275" s="5">
        <f t="shared" si="42"/>
        <v>0</v>
      </c>
      <c r="H275" s="489">
        <f t="shared" si="43"/>
        <v>0</v>
      </c>
    </row>
    <row r="276" spans="4:8" ht="18" customHeight="1">
      <c r="D276" s="488" t="s">
        <v>327</v>
      </c>
      <c r="E276" s="5" t="s">
        <v>328</v>
      </c>
      <c r="F276" s="5">
        <f t="shared" si="41"/>
        <v>0</v>
      </c>
      <c r="G276" s="5">
        <f t="shared" si="42"/>
        <v>0</v>
      </c>
      <c r="H276" s="489">
        <f t="shared" si="43"/>
        <v>0</v>
      </c>
    </row>
    <row r="277" spans="4:8" ht="18" customHeight="1">
      <c r="D277" s="488" t="s">
        <v>329</v>
      </c>
      <c r="E277" s="5" t="s">
        <v>330</v>
      </c>
      <c r="F277" s="5">
        <f t="shared" si="41"/>
        <v>0</v>
      </c>
      <c r="G277" s="5">
        <f t="shared" si="42"/>
        <v>0</v>
      </c>
      <c r="H277" s="489">
        <f t="shared" si="43"/>
        <v>0</v>
      </c>
    </row>
    <row r="278" spans="4:8" ht="18" customHeight="1">
      <c r="D278" s="488" t="s">
        <v>331</v>
      </c>
      <c r="E278" s="5" t="s">
        <v>332</v>
      </c>
      <c r="F278" s="5">
        <f t="shared" si="41"/>
        <v>0</v>
      </c>
      <c r="G278" s="5">
        <f t="shared" si="42"/>
        <v>0</v>
      </c>
      <c r="H278" s="489">
        <f t="shared" si="43"/>
        <v>0</v>
      </c>
    </row>
    <row r="279" spans="4:8" ht="18" customHeight="1">
      <c r="D279" s="483"/>
      <c r="E279" s="484" t="s">
        <v>333</v>
      </c>
      <c r="F279" s="484"/>
      <c r="G279" s="484"/>
      <c r="H279" s="485"/>
    </row>
    <row r="280" spans="4:8" ht="18" customHeight="1">
      <c r="D280" s="488" t="s">
        <v>334</v>
      </c>
      <c r="E280" s="5" t="s">
        <v>335</v>
      </c>
      <c r="F280" s="5">
        <f t="shared" ref="F280:F290" si="44">SUMIF($J:$J,$D280,L:L)</f>
        <v>0</v>
      </c>
      <c r="G280" s="5">
        <f t="shared" ref="G280:G290" si="45">SUMIF($J:$J,$D280,M:M)</f>
        <v>0</v>
      </c>
      <c r="H280" s="489">
        <f t="shared" si="43"/>
        <v>0</v>
      </c>
    </row>
    <row r="281" spans="4:8" ht="18" customHeight="1">
      <c r="D281" s="488" t="s">
        <v>336</v>
      </c>
      <c r="E281" s="5" t="s">
        <v>337</v>
      </c>
      <c r="F281" s="5">
        <f t="shared" si="44"/>
        <v>0</v>
      </c>
      <c r="G281" s="5">
        <f t="shared" si="45"/>
        <v>9497071</v>
      </c>
      <c r="H281" s="489">
        <f t="shared" si="43"/>
        <v>-9497071</v>
      </c>
    </row>
    <row r="282" spans="4:8" ht="18" customHeight="1">
      <c r="D282" s="488" t="s">
        <v>338</v>
      </c>
      <c r="E282" s="5" t="s">
        <v>339</v>
      </c>
      <c r="F282" s="5">
        <f t="shared" si="44"/>
        <v>0</v>
      </c>
      <c r="G282" s="5">
        <f t="shared" si="45"/>
        <v>0</v>
      </c>
      <c r="H282" s="489">
        <f t="shared" si="43"/>
        <v>0</v>
      </c>
    </row>
    <row r="283" spans="4:8" ht="18" customHeight="1">
      <c r="D283" s="503" t="s">
        <v>388</v>
      </c>
      <c r="E283" s="5" t="s">
        <v>387</v>
      </c>
      <c r="F283" s="5">
        <f t="shared" si="44"/>
        <v>0</v>
      </c>
      <c r="G283" s="5">
        <f t="shared" si="45"/>
        <v>0</v>
      </c>
      <c r="H283" s="489">
        <f t="shared" si="43"/>
        <v>0</v>
      </c>
    </row>
    <row r="284" spans="4:8" ht="18" customHeight="1">
      <c r="D284" s="488" t="s">
        <v>340</v>
      </c>
      <c r="E284" s="5" t="s">
        <v>341</v>
      </c>
      <c r="F284" s="5">
        <f t="shared" si="44"/>
        <v>0</v>
      </c>
      <c r="G284" s="5">
        <f t="shared" si="45"/>
        <v>0</v>
      </c>
      <c r="H284" s="489">
        <f t="shared" si="43"/>
        <v>0</v>
      </c>
    </row>
    <row r="285" spans="4:8" ht="18" customHeight="1">
      <c r="D285" s="488" t="s">
        <v>342</v>
      </c>
      <c r="E285" s="5" t="s">
        <v>343</v>
      </c>
      <c r="F285" s="5">
        <f t="shared" si="44"/>
        <v>932876</v>
      </c>
      <c r="G285" s="5">
        <f t="shared" si="45"/>
        <v>0</v>
      </c>
      <c r="H285" s="489">
        <f t="shared" si="43"/>
        <v>932876</v>
      </c>
    </row>
    <row r="286" spans="4:8" ht="18" customHeight="1">
      <c r="D286" s="488" t="s">
        <v>344</v>
      </c>
      <c r="E286" s="5" t="s">
        <v>345</v>
      </c>
      <c r="F286" s="5">
        <f t="shared" si="44"/>
        <v>0</v>
      </c>
      <c r="G286" s="5">
        <f t="shared" si="45"/>
        <v>0</v>
      </c>
      <c r="H286" s="489">
        <f t="shared" si="43"/>
        <v>0</v>
      </c>
    </row>
    <row r="287" spans="4:8" ht="18" customHeight="1">
      <c r="D287" s="488" t="s">
        <v>346</v>
      </c>
      <c r="E287" s="5" t="s">
        <v>347</v>
      </c>
      <c r="F287" s="5">
        <f t="shared" si="44"/>
        <v>0</v>
      </c>
      <c r="G287" s="5">
        <f t="shared" si="45"/>
        <v>0</v>
      </c>
      <c r="H287" s="489">
        <f t="shared" si="43"/>
        <v>0</v>
      </c>
    </row>
    <row r="288" spans="4:8" ht="18" customHeight="1">
      <c r="D288" s="488" t="s">
        <v>348</v>
      </c>
      <c r="E288" s="5" t="s">
        <v>349</v>
      </c>
      <c r="F288" s="5">
        <f t="shared" si="44"/>
        <v>0</v>
      </c>
      <c r="G288" s="5">
        <f t="shared" si="45"/>
        <v>0</v>
      </c>
      <c r="H288" s="489">
        <f t="shared" si="43"/>
        <v>0</v>
      </c>
    </row>
    <row r="289" spans="4:8" ht="18" customHeight="1">
      <c r="D289" s="503" t="s">
        <v>350</v>
      </c>
      <c r="E289" s="5" t="s">
        <v>351</v>
      </c>
      <c r="F289" s="5">
        <f t="shared" si="44"/>
        <v>0</v>
      </c>
      <c r="G289" s="5">
        <f t="shared" si="45"/>
        <v>0</v>
      </c>
      <c r="H289" s="489">
        <f t="shared" si="43"/>
        <v>0</v>
      </c>
    </row>
    <row r="290" spans="4:8" ht="18" customHeight="1">
      <c r="D290" s="503" t="s">
        <v>352</v>
      </c>
      <c r="E290" s="5" t="s">
        <v>353</v>
      </c>
      <c r="F290" s="5">
        <f t="shared" si="44"/>
        <v>0</v>
      </c>
      <c r="G290" s="5">
        <f t="shared" si="45"/>
        <v>0</v>
      </c>
      <c r="H290" s="489">
        <f t="shared" si="43"/>
        <v>0</v>
      </c>
    </row>
    <row r="291" spans="4:8" ht="18" customHeight="1">
      <c r="D291" s="483"/>
      <c r="E291" s="484" t="s">
        <v>354</v>
      </c>
      <c r="F291" s="484"/>
      <c r="G291" s="484"/>
      <c r="H291" s="485"/>
    </row>
    <row r="292" spans="4:8" ht="18" customHeight="1">
      <c r="D292" s="488" t="s">
        <v>355</v>
      </c>
      <c r="E292" s="5" t="s">
        <v>356</v>
      </c>
      <c r="F292" s="5">
        <f t="shared" ref="F292:G294" si="46">SUMIF($J:$J,$D292,L:L)</f>
        <v>0</v>
      </c>
      <c r="G292" s="5">
        <f t="shared" si="46"/>
        <v>0</v>
      </c>
      <c r="H292" s="489">
        <f t="shared" si="43"/>
        <v>0</v>
      </c>
    </row>
    <row r="293" spans="4:8" ht="18" customHeight="1">
      <c r="D293" s="488" t="s">
        <v>357</v>
      </c>
      <c r="E293" s="5" t="s">
        <v>358</v>
      </c>
      <c r="F293" s="5">
        <f t="shared" si="46"/>
        <v>0</v>
      </c>
      <c r="G293" s="5">
        <f t="shared" si="46"/>
        <v>0</v>
      </c>
      <c r="H293" s="489">
        <f t="shared" si="43"/>
        <v>0</v>
      </c>
    </row>
    <row r="294" spans="4:8" ht="18" customHeight="1">
      <c r="D294" s="488" t="s">
        <v>359</v>
      </c>
      <c r="E294" s="5" t="s">
        <v>360</v>
      </c>
      <c r="F294" s="5">
        <f t="shared" si="46"/>
        <v>0</v>
      </c>
      <c r="G294" s="5">
        <f t="shared" si="46"/>
        <v>0</v>
      </c>
      <c r="H294" s="489">
        <f t="shared" si="43"/>
        <v>0</v>
      </c>
    </row>
    <row r="295" spans="4:8" ht="18" customHeight="1">
      <c r="D295" s="483"/>
      <c r="E295" s="484" t="s">
        <v>361</v>
      </c>
      <c r="F295" s="484"/>
      <c r="G295" s="484"/>
      <c r="H295" s="485"/>
    </row>
    <row r="296" spans="4:8" ht="18" customHeight="1">
      <c r="D296" s="488" t="s">
        <v>362</v>
      </c>
      <c r="E296" s="5" t="s">
        <v>363</v>
      </c>
      <c r="F296" s="5">
        <f t="shared" ref="F296:G299" si="47">SUMIF($J:$J,$D296,L:L)</f>
        <v>0</v>
      </c>
      <c r="G296" s="5">
        <f t="shared" si="47"/>
        <v>0</v>
      </c>
      <c r="H296" s="489">
        <f t="shared" si="43"/>
        <v>0</v>
      </c>
    </row>
    <row r="297" spans="4:8" ht="18" customHeight="1">
      <c r="D297" s="488" t="s">
        <v>364</v>
      </c>
      <c r="E297" s="5" t="s">
        <v>365</v>
      </c>
      <c r="F297" s="5">
        <f t="shared" si="47"/>
        <v>0</v>
      </c>
      <c r="G297" s="5">
        <f t="shared" si="47"/>
        <v>0</v>
      </c>
      <c r="H297" s="489">
        <f t="shared" si="43"/>
        <v>0</v>
      </c>
    </row>
    <row r="298" spans="4:8" ht="18" customHeight="1">
      <c r="D298" s="488" t="s">
        <v>366</v>
      </c>
      <c r="E298" s="5" t="s">
        <v>367</v>
      </c>
      <c r="F298" s="5">
        <f t="shared" si="47"/>
        <v>0</v>
      </c>
      <c r="G298" s="5">
        <f t="shared" si="47"/>
        <v>0</v>
      </c>
      <c r="H298" s="489">
        <f t="shared" si="43"/>
        <v>0</v>
      </c>
    </row>
    <row r="299" spans="4:8" ht="18" customHeight="1">
      <c r="D299" s="488" t="s">
        <v>368</v>
      </c>
      <c r="E299" s="5" t="s">
        <v>369</v>
      </c>
      <c r="F299" s="5">
        <f t="shared" si="47"/>
        <v>0</v>
      </c>
      <c r="G299" s="5">
        <f t="shared" si="47"/>
        <v>0</v>
      </c>
      <c r="H299" s="489">
        <f t="shared" si="43"/>
        <v>0</v>
      </c>
    </row>
    <row r="300" spans="4:8" ht="18" customHeight="1">
      <c r="D300" s="483"/>
      <c r="E300" s="484" t="s">
        <v>370</v>
      </c>
      <c r="F300" s="484"/>
      <c r="G300" s="484"/>
      <c r="H300" s="485"/>
    </row>
    <row r="301" spans="4:8" ht="18" customHeight="1">
      <c r="D301" s="488" t="s">
        <v>371</v>
      </c>
      <c r="E301" s="5" t="s">
        <v>372</v>
      </c>
      <c r="F301" s="5">
        <f t="shared" ref="F301:G303" si="48">SUMIF($J:$J,$D301,L:L)</f>
        <v>0</v>
      </c>
      <c r="G301" s="5">
        <f t="shared" si="48"/>
        <v>0</v>
      </c>
      <c r="H301" s="489">
        <f t="shared" si="43"/>
        <v>0</v>
      </c>
    </row>
    <row r="302" spans="4:8" ht="18" customHeight="1">
      <c r="D302" s="488" t="s">
        <v>373</v>
      </c>
      <c r="E302" s="5" t="s">
        <v>374</v>
      </c>
      <c r="F302" s="5">
        <f t="shared" si="48"/>
        <v>0</v>
      </c>
      <c r="G302" s="5">
        <f t="shared" si="48"/>
        <v>0</v>
      </c>
      <c r="H302" s="489">
        <f t="shared" si="43"/>
        <v>0</v>
      </c>
    </row>
    <row r="303" spans="4:8" ht="18" customHeight="1">
      <c r="D303" s="488" t="s">
        <v>375</v>
      </c>
      <c r="E303" s="5" t="s">
        <v>376</v>
      </c>
      <c r="F303" s="5">
        <f t="shared" si="48"/>
        <v>0</v>
      </c>
      <c r="G303" s="5">
        <f t="shared" si="48"/>
        <v>0</v>
      </c>
      <c r="H303" s="489">
        <f t="shared" si="43"/>
        <v>0</v>
      </c>
    </row>
    <row r="304" spans="4:8" ht="18" customHeight="1">
      <c r="D304" s="483"/>
      <c r="E304" s="484" t="s">
        <v>377</v>
      </c>
      <c r="F304" s="484"/>
      <c r="G304" s="484"/>
      <c r="H304" s="485"/>
    </row>
    <row r="305" spans="4:8" ht="18" customHeight="1">
      <c r="D305" s="488" t="s">
        <v>378</v>
      </c>
      <c r="E305" s="5" t="s">
        <v>377</v>
      </c>
      <c r="F305" s="5">
        <f>SUMIF($J:$J,$D305,L:L)</f>
        <v>0</v>
      </c>
      <c r="G305" s="5">
        <f>SUMIF($J:$J,$D305,M:M)</f>
        <v>0</v>
      </c>
      <c r="H305" s="489">
        <f t="shared" si="43"/>
        <v>0</v>
      </c>
    </row>
    <row r="306" spans="4:8" ht="18" customHeight="1">
      <c r="D306" s="478"/>
      <c r="E306" s="479" t="s">
        <v>379</v>
      </c>
      <c r="F306" s="479"/>
      <c r="G306" s="479"/>
      <c r="H306" s="480"/>
    </row>
    <row r="307" spans="4:8" ht="18" customHeight="1">
      <c r="D307" s="483"/>
      <c r="E307" s="484" t="s">
        <v>380</v>
      </c>
      <c r="F307" s="484"/>
      <c r="G307" s="484"/>
      <c r="H307" s="485"/>
    </row>
    <row r="308" spans="4:8" ht="18" customHeight="1">
      <c r="D308" s="488" t="s">
        <v>381</v>
      </c>
      <c r="E308" s="5" t="s">
        <v>380</v>
      </c>
      <c r="F308" s="5">
        <f>SUMIF($J:$J,$D308,L:L)</f>
        <v>0</v>
      </c>
      <c r="G308" s="5">
        <f>SUMIF($J:$J,$D308,M:M)</f>
        <v>0</v>
      </c>
      <c r="H308" s="489">
        <f>F308-G308</f>
        <v>0</v>
      </c>
    </row>
    <row r="309" spans="4:8" ht="18" customHeight="1">
      <c r="D309" s="478"/>
      <c r="E309" s="479" t="s">
        <v>382</v>
      </c>
      <c r="F309" s="479"/>
      <c r="G309" s="479"/>
      <c r="H309" s="480"/>
    </row>
    <row r="310" spans="4:8" ht="18" customHeight="1">
      <c r="D310" s="488" t="s">
        <v>383</v>
      </c>
      <c r="E310" s="5" t="s">
        <v>11</v>
      </c>
      <c r="H310" s="489"/>
    </row>
    <row r="311" spans="4:8" ht="18" customHeight="1" thickBot="1">
      <c r="D311" s="513" t="s">
        <v>384</v>
      </c>
      <c r="E311" s="514" t="s">
        <v>210</v>
      </c>
      <c r="F311" s="514"/>
      <c r="G311" s="514"/>
      <c r="H311" s="515"/>
    </row>
    <row r="312" spans="4:8" ht="18" customHeight="1">
      <c r="F312" s="5">
        <f>SUM(F211:F311)</f>
        <v>333409749</v>
      </c>
      <c r="G312" s="5">
        <f>SUM(G211:G311)</f>
        <v>333409749</v>
      </c>
    </row>
  </sheetData>
  <autoFilter ref="D4:H205" xr:uid="{00000000-0009-0000-0000-000013000000}"/>
  <phoneticPr fontId="20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2:N23"/>
  <sheetViews>
    <sheetView zoomScaleNormal="100" workbookViewId="0">
      <selection activeCell="I22" sqref="I22"/>
    </sheetView>
  </sheetViews>
  <sheetFormatPr defaultColWidth="9.125" defaultRowHeight="15.95" customHeight="1"/>
  <cols>
    <col min="1" max="1" width="12.375" style="60" customWidth="1"/>
    <col min="2" max="2" width="25" style="60" customWidth="1"/>
    <col min="3" max="3" width="12.375" style="60" customWidth="1"/>
    <col min="4" max="4" width="25.75" style="60" customWidth="1"/>
    <col min="5" max="5" width="12.375" style="60" customWidth="1"/>
    <col min="6" max="6" width="14.375" style="60" customWidth="1"/>
    <col min="7" max="8" width="12.375" style="60" customWidth="1"/>
    <col min="9" max="9" width="14.375" style="60" customWidth="1"/>
    <col min="10" max="10" width="9.125" style="60"/>
    <col min="11" max="11" width="14.375" style="60" bestFit="1" customWidth="1"/>
    <col min="12" max="12" width="13.75" style="63" bestFit="1" customWidth="1"/>
    <col min="13" max="13" width="4.125" style="60" customWidth="1"/>
    <col min="14" max="246" width="9.125" style="60"/>
    <col min="247" max="247" width="12.375" style="60" customWidth="1"/>
    <col min="248" max="248" width="25" style="60" customWidth="1"/>
    <col min="249" max="249" width="12.375" style="60" customWidth="1"/>
    <col min="250" max="250" width="25.75" style="60" customWidth="1"/>
    <col min="251" max="251" width="12.375" style="60" customWidth="1"/>
    <col min="252" max="252" width="14.375" style="60" customWidth="1"/>
    <col min="253" max="254" width="12.375" style="60" customWidth="1"/>
    <col min="255" max="255" width="14.375" style="60" customWidth="1"/>
    <col min="256" max="256" width="9.125" style="60"/>
    <col min="257" max="257" width="14.375" style="60" bestFit="1" customWidth="1"/>
    <col min="258" max="502" width="9.125" style="60"/>
    <col min="503" max="503" width="12.375" style="60" customWidth="1"/>
    <col min="504" max="504" width="25" style="60" customWidth="1"/>
    <col min="505" max="505" width="12.375" style="60" customWidth="1"/>
    <col min="506" max="506" width="25.75" style="60" customWidth="1"/>
    <col min="507" max="507" width="12.375" style="60" customWidth="1"/>
    <col min="508" max="508" width="14.375" style="60" customWidth="1"/>
    <col min="509" max="510" width="12.375" style="60" customWidth="1"/>
    <col min="511" max="511" width="14.375" style="60" customWidth="1"/>
    <col min="512" max="512" width="9.125" style="60"/>
    <col min="513" max="513" width="14.375" style="60" bestFit="1" customWidth="1"/>
    <col min="514" max="758" width="9.125" style="60"/>
    <col min="759" max="759" width="12.375" style="60" customWidth="1"/>
    <col min="760" max="760" width="25" style="60" customWidth="1"/>
    <col min="761" max="761" width="12.375" style="60" customWidth="1"/>
    <col min="762" max="762" width="25.75" style="60" customWidth="1"/>
    <col min="763" max="763" width="12.375" style="60" customWidth="1"/>
    <col min="764" max="764" width="14.375" style="60" customWidth="1"/>
    <col min="765" max="766" width="12.375" style="60" customWidth="1"/>
    <col min="767" max="767" width="14.375" style="60" customWidth="1"/>
    <col min="768" max="768" width="9.125" style="60"/>
    <col min="769" max="769" width="14.375" style="60" bestFit="1" customWidth="1"/>
    <col min="770" max="1014" width="9.125" style="60"/>
    <col min="1015" max="1015" width="12.375" style="60" customWidth="1"/>
    <col min="1016" max="1016" width="25" style="60" customWidth="1"/>
    <col min="1017" max="1017" width="12.375" style="60" customWidth="1"/>
    <col min="1018" max="1018" width="25.75" style="60" customWidth="1"/>
    <col min="1019" max="1019" width="12.375" style="60" customWidth="1"/>
    <col min="1020" max="1020" width="14.375" style="60" customWidth="1"/>
    <col min="1021" max="1022" width="12.375" style="60" customWidth="1"/>
    <col min="1023" max="1023" width="14.375" style="60" customWidth="1"/>
    <col min="1024" max="1024" width="9.125" style="60"/>
    <col min="1025" max="1025" width="14.375" style="60" bestFit="1" customWidth="1"/>
    <col min="1026" max="1270" width="9.125" style="60"/>
    <col min="1271" max="1271" width="12.375" style="60" customWidth="1"/>
    <col min="1272" max="1272" width="25" style="60" customWidth="1"/>
    <col min="1273" max="1273" width="12.375" style="60" customWidth="1"/>
    <col min="1274" max="1274" width="25.75" style="60" customWidth="1"/>
    <col min="1275" max="1275" width="12.375" style="60" customWidth="1"/>
    <col min="1276" max="1276" width="14.375" style="60" customWidth="1"/>
    <col min="1277" max="1278" width="12.375" style="60" customWidth="1"/>
    <col min="1279" max="1279" width="14.375" style="60" customWidth="1"/>
    <col min="1280" max="1280" width="9.125" style="60"/>
    <col min="1281" max="1281" width="14.375" style="60" bestFit="1" customWidth="1"/>
    <col min="1282" max="1526" width="9.125" style="60"/>
    <col min="1527" max="1527" width="12.375" style="60" customWidth="1"/>
    <col min="1528" max="1528" width="25" style="60" customWidth="1"/>
    <col min="1529" max="1529" width="12.375" style="60" customWidth="1"/>
    <col min="1530" max="1530" width="25.75" style="60" customWidth="1"/>
    <col min="1531" max="1531" width="12.375" style="60" customWidth="1"/>
    <col min="1532" max="1532" width="14.375" style="60" customWidth="1"/>
    <col min="1533" max="1534" width="12.375" style="60" customWidth="1"/>
    <col min="1535" max="1535" width="14.375" style="60" customWidth="1"/>
    <col min="1536" max="1536" width="9.125" style="60"/>
    <col min="1537" max="1537" width="14.375" style="60" bestFit="1" customWidth="1"/>
    <col min="1538" max="1782" width="9.125" style="60"/>
    <col min="1783" max="1783" width="12.375" style="60" customWidth="1"/>
    <col min="1784" max="1784" width="25" style="60" customWidth="1"/>
    <col min="1785" max="1785" width="12.375" style="60" customWidth="1"/>
    <col min="1786" max="1786" width="25.75" style="60" customWidth="1"/>
    <col min="1787" max="1787" width="12.375" style="60" customWidth="1"/>
    <col min="1788" max="1788" width="14.375" style="60" customWidth="1"/>
    <col min="1789" max="1790" width="12.375" style="60" customWidth="1"/>
    <col min="1791" max="1791" width="14.375" style="60" customWidth="1"/>
    <col min="1792" max="1792" width="9.125" style="60"/>
    <col min="1793" max="1793" width="14.375" style="60" bestFit="1" customWidth="1"/>
    <col min="1794" max="2038" width="9.125" style="60"/>
    <col min="2039" max="2039" width="12.375" style="60" customWidth="1"/>
    <col min="2040" max="2040" width="25" style="60" customWidth="1"/>
    <col min="2041" max="2041" width="12.375" style="60" customWidth="1"/>
    <col min="2042" max="2042" width="25.75" style="60" customWidth="1"/>
    <col min="2043" max="2043" width="12.375" style="60" customWidth="1"/>
    <col min="2044" max="2044" width="14.375" style="60" customWidth="1"/>
    <col min="2045" max="2046" width="12.375" style="60" customWidth="1"/>
    <col min="2047" max="2047" width="14.375" style="60" customWidth="1"/>
    <col min="2048" max="2048" width="9.125" style="60"/>
    <col min="2049" max="2049" width="14.375" style="60" bestFit="1" customWidth="1"/>
    <col min="2050" max="2294" width="9.125" style="60"/>
    <col min="2295" max="2295" width="12.375" style="60" customWidth="1"/>
    <col min="2296" max="2296" width="25" style="60" customWidth="1"/>
    <col min="2297" max="2297" width="12.375" style="60" customWidth="1"/>
    <col min="2298" max="2298" width="25.75" style="60" customWidth="1"/>
    <col min="2299" max="2299" width="12.375" style="60" customWidth="1"/>
    <col min="2300" max="2300" width="14.375" style="60" customWidth="1"/>
    <col min="2301" max="2302" width="12.375" style="60" customWidth="1"/>
    <col min="2303" max="2303" width="14.375" style="60" customWidth="1"/>
    <col min="2304" max="2304" width="9.125" style="60"/>
    <col min="2305" max="2305" width="14.375" style="60" bestFit="1" customWidth="1"/>
    <col min="2306" max="2550" width="9.125" style="60"/>
    <col min="2551" max="2551" width="12.375" style="60" customWidth="1"/>
    <col min="2552" max="2552" width="25" style="60" customWidth="1"/>
    <col min="2553" max="2553" width="12.375" style="60" customWidth="1"/>
    <col min="2554" max="2554" width="25.75" style="60" customWidth="1"/>
    <col min="2555" max="2555" width="12.375" style="60" customWidth="1"/>
    <col min="2556" max="2556" width="14.375" style="60" customWidth="1"/>
    <col min="2557" max="2558" width="12.375" style="60" customWidth="1"/>
    <col min="2559" max="2559" width="14.375" style="60" customWidth="1"/>
    <col min="2560" max="2560" width="9.125" style="60"/>
    <col min="2561" max="2561" width="14.375" style="60" bestFit="1" customWidth="1"/>
    <col min="2562" max="2806" width="9.125" style="60"/>
    <col min="2807" max="2807" width="12.375" style="60" customWidth="1"/>
    <col min="2808" max="2808" width="25" style="60" customWidth="1"/>
    <col min="2809" max="2809" width="12.375" style="60" customWidth="1"/>
    <col min="2810" max="2810" width="25.75" style="60" customWidth="1"/>
    <col min="2811" max="2811" width="12.375" style="60" customWidth="1"/>
    <col min="2812" max="2812" width="14.375" style="60" customWidth="1"/>
    <col min="2813" max="2814" width="12.375" style="60" customWidth="1"/>
    <col min="2815" max="2815" width="14.375" style="60" customWidth="1"/>
    <col min="2816" max="2816" width="9.125" style="60"/>
    <col min="2817" max="2817" width="14.375" style="60" bestFit="1" customWidth="1"/>
    <col min="2818" max="3062" width="9.125" style="60"/>
    <col min="3063" max="3063" width="12.375" style="60" customWidth="1"/>
    <col min="3064" max="3064" width="25" style="60" customWidth="1"/>
    <col min="3065" max="3065" width="12.375" style="60" customWidth="1"/>
    <col min="3066" max="3066" width="25.75" style="60" customWidth="1"/>
    <col min="3067" max="3067" width="12.375" style="60" customWidth="1"/>
    <col min="3068" max="3068" width="14.375" style="60" customWidth="1"/>
    <col min="3069" max="3070" width="12.375" style="60" customWidth="1"/>
    <col min="3071" max="3071" width="14.375" style="60" customWidth="1"/>
    <col min="3072" max="3072" width="9.125" style="60"/>
    <col min="3073" max="3073" width="14.375" style="60" bestFit="1" customWidth="1"/>
    <col min="3074" max="3318" width="9.125" style="60"/>
    <col min="3319" max="3319" width="12.375" style="60" customWidth="1"/>
    <col min="3320" max="3320" width="25" style="60" customWidth="1"/>
    <col min="3321" max="3321" width="12.375" style="60" customWidth="1"/>
    <col min="3322" max="3322" width="25.75" style="60" customWidth="1"/>
    <col min="3323" max="3323" width="12.375" style="60" customWidth="1"/>
    <col min="3324" max="3324" width="14.375" style="60" customWidth="1"/>
    <col min="3325" max="3326" width="12.375" style="60" customWidth="1"/>
    <col min="3327" max="3327" width="14.375" style="60" customWidth="1"/>
    <col min="3328" max="3328" width="9.125" style="60"/>
    <col min="3329" max="3329" width="14.375" style="60" bestFit="1" customWidth="1"/>
    <col min="3330" max="3574" width="9.125" style="60"/>
    <col min="3575" max="3575" width="12.375" style="60" customWidth="1"/>
    <col min="3576" max="3576" width="25" style="60" customWidth="1"/>
    <col min="3577" max="3577" width="12.375" style="60" customWidth="1"/>
    <col min="3578" max="3578" width="25.75" style="60" customWidth="1"/>
    <col min="3579" max="3579" width="12.375" style="60" customWidth="1"/>
    <col min="3580" max="3580" width="14.375" style="60" customWidth="1"/>
    <col min="3581" max="3582" width="12.375" style="60" customWidth="1"/>
    <col min="3583" max="3583" width="14.375" style="60" customWidth="1"/>
    <col min="3584" max="3584" width="9.125" style="60"/>
    <col min="3585" max="3585" width="14.375" style="60" bestFit="1" customWidth="1"/>
    <col min="3586" max="3830" width="9.125" style="60"/>
    <col min="3831" max="3831" width="12.375" style="60" customWidth="1"/>
    <col min="3832" max="3832" width="25" style="60" customWidth="1"/>
    <col min="3833" max="3833" width="12.375" style="60" customWidth="1"/>
    <col min="3834" max="3834" width="25.75" style="60" customWidth="1"/>
    <col min="3835" max="3835" width="12.375" style="60" customWidth="1"/>
    <col min="3836" max="3836" width="14.375" style="60" customWidth="1"/>
    <col min="3837" max="3838" width="12.375" style="60" customWidth="1"/>
    <col min="3839" max="3839" width="14.375" style="60" customWidth="1"/>
    <col min="3840" max="3840" width="9.125" style="60"/>
    <col min="3841" max="3841" width="14.375" style="60" bestFit="1" customWidth="1"/>
    <col min="3842" max="4086" width="9.125" style="60"/>
    <col min="4087" max="4087" width="12.375" style="60" customWidth="1"/>
    <col min="4088" max="4088" width="25" style="60" customWidth="1"/>
    <col min="4089" max="4089" width="12.375" style="60" customWidth="1"/>
    <col min="4090" max="4090" width="25.75" style="60" customWidth="1"/>
    <col min="4091" max="4091" width="12.375" style="60" customWidth="1"/>
    <col min="4092" max="4092" width="14.375" style="60" customWidth="1"/>
    <col min="4093" max="4094" width="12.375" style="60" customWidth="1"/>
    <col min="4095" max="4095" width="14.375" style="60" customWidth="1"/>
    <col min="4096" max="4096" width="9.125" style="60"/>
    <col min="4097" max="4097" width="14.375" style="60" bestFit="1" customWidth="1"/>
    <col min="4098" max="4342" width="9.125" style="60"/>
    <col min="4343" max="4343" width="12.375" style="60" customWidth="1"/>
    <col min="4344" max="4344" width="25" style="60" customWidth="1"/>
    <col min="4345" max="4345" width="12.375" style="60" customWidth="1"/>
    <col min="4346" max="4346" width="25.75" style="60" customWidth="1"/>
    <col min="4347" max="4347" width="12.375" style="60" customWidth="1"/>
    <col min="4348" max="4348" width="14.375" style="60" customWidth="1"/>
    <col min="4349" max="4350" width="12.375" style="60" customWidth="1"/>
    <col min="4351" max="4351" width="14.375" style="60" customWidth="1"/>
    <col min="4352" max="4352" width="9.125" style="60"/>
    <col min="4353" max="4353" width="14.375" style="60" bestFit="1" customWidth="1"/>
    <col min="4354" max="4598" width="9.125" style="60"/>
    <col min="4599" max="4599" width="12.375" style="60" customWidth="1"/>
    <col min="4600" max="4600" width="25" style="60" customWidth="1"/>
    <col min="4601" max="4601" width="12.375" style="60" customWidth="1"/>
    <col min="4602" max="4602" width="25.75" style="60" customWidth="1"/>
    <col min="4603" max="4603" width="12.375" style="60" customWidth="1"/>
    <col min="4604" max="4604" width="14.375" style="60" customWidth="1"/>
    <col min="4605" max="4606" width="12.375" style="60" customWidth="1"/>
    <col min="4607" max="4607" width="14.375" style="60" customWidth="1"/>
    <col min="4608" max="4608" width="9.125" style="60"/>
    <col min="4609" max="4609" width="14.375" style="60" bestFit="1" customWidth="1"/>
    <col min="4610" max="4854" width="9.125" style="60"/>
    <col min="4855" max="4855" width="12.375" style="60" customWidth="1"/>
    <col min="4856" max="4856" width="25" style="60" customWidth="1"/>
    <col min="4857" max="4857" width="12.375" style="60" customWidth="1"/>
    <col min="4858" max="4858" width="25.75" style="60" customWidth="1"/>
    <col min="4859" max="4859" width="12.375" style="60" customWidth="1"/>
    <col min="4860" max="4860" width="14.375" style="60" customWidth="1"/>
    <col min="4861" max="4862" width="12.375" style="60" customWidth="1"/>
    <col min="4863" max="4863" width="14.375" style="60" customWidth="1"/>
    <col min="4864" max="4864" width="9.125" style="60"/>
    <col min="4865" max="4865" width="14.375" style="60" bestFit="1" customWidth="1"/>
    <col min="4866" max="5110" width="9.125" style="60"/>
    <col min="5111" max="5111" width="12.375" style="60" customWidth="1"/>
    <col min="5112" max="5112" width="25" style="60" customWidth="1"/>
    <col min="5113" max="5113" width="12.375" style="60" customWidth="1"/>
    <col min="5114" max="5114" width="25.75" style="60" customWidth="1"/>
    <col min="5115" max="5115" width="12.375" style="60" customWidth="1"/>
    <col min="5116" max="5116" width="14.375" style="60" customWidth="1"/>
    <col min="5117" max="5118" width="12.375" style="60" customWidth="1"/>
    <col min="5119" max="5119" width="14.375" style="60" customWidth="1"/>
    <col min="5120" max="5120" width="9.125" style="60"/>
    <col min="5121" max="5121" width="14.375" style="60" bestFit="1" customWidth="1"/>
    <col min="5122" max="5366" width="9.125" style="60"/>
    <col min="5367" max="5367" width="12.375" style="60" customWidth="1"/>
    <col min="5368" max="5368" width="25" style="60" customWidth="1"/>
    <col min="5369" max="5369" width="12.375" style="60" customWidth="1"/>
    <col min="5370" max="5370" width="25.75" style="60" customWidth="1"/>
    <col min="5371" max="5371" width="12.375" style="60" customWidth="1"/>
    <col min="5372" max="5372" width="14.375" style="60" customWidth="1"/>
    <col min="5373" max="5374" width="12.375" style="60" customWidth="1"/>
    <col min="5375" max="5375" width="14.375" style="60" customWidth="1"/>
    <col min="5376" max="5376" width="9.125" style="60"/>
    <col min="5377" max="5377" width="14.375" style="60" bestFit="1" customWidth="1"/>
    <col min="5378" max="5622" width="9.125" style="60"/>
    <col min="5623" max="5623" width="12.375" style="60" customWidth="1"/>
    <col min="5624" max="5624" width="25" style="60" customWidth="1"/>
    <col min="5625" max="5625" width="12.375" style="60" customWidth="1"/>
    <col min="5626" max="5626" width="25.75" style="60" customWidth="1"/>
    <col min="5627" max="5627" width="12.375" style="60" customWidth="1"/>
    <col min="5628" max="5628" width="14.375" style="60" customWidth="1"/>
    <col min="5629" max="5630" width="12.375" style="60" customWidth="1"/>
    <col min="5631" max="5631" width="14.375" style="60" customWidth="1"/>
    <col min="5632" max="5632" width="9.125" style="60"/>
    <col min="5633" max="5633" width="14.375" style="60" bestFit="1" customWidth="1"/>
    <col min="5634" max="5878" width="9.125" style="60"/>
    <col min="5879" max="5879" width="12.375" style="60" customWidth="1"/>
    <col min="5880" max="5880" width="25" style="60" customWidth="1"/>
    <col min="5881" max="5881" width="12.375" style="60" customWidth="1"/>
    <col min="5882" max="5882" width="25.75" style="60" customWidth="1"/>
    <col min="5883" max="5883" width="12.375" style="60" customWidth="1"/>
    <col min="5884" max="5884" width="14.375" style="60" customWidth="1"/>
    <col min="5885" max="5886" width="12.375" style="60" customWidth="1"/>
    <col min="5887" max="5887" width="14.375" style="60" customWidth="1"/>
    <col min="5888" max="5888" width="9.125" style="60"/>
    <col min="5889" max="5889" width="14.375" style="60" bestFit="1" customWidth="1"/>
    <col min="5890" max="6134" width="9.125" style="60"/>
    <col min="6135" max="6135" width="12.375" style="60" customWidth="1"/>
    <col min="6136" max="6136" width="25" style="60" customWidth="1"/>
    <col min="6137" max="6137" width="12.375" style="60" customWidth="1"/>
    <col min="6138" max="6138" width="25.75" style="60" customWidth="1"/>
    <col min="6139" max="6139" width="12.375" style="60" customWidth="1"/>
    <col min="6140" max="6140" width="14.375" style="60" customWidth="1"/>
    <col min="6141" max="6142" width="12.375" style="60" customWidth="1"/>
    <col min="6143" max="6143" width="14.375" style="60" customWidth="1"/>
    <col min="6144" max="6144" width="9.125" style="60"/>
    <col min="6145" max="6145" width="14.375" style="60" bestFit="1" customWidth="1"/>
    <col min="6146" max="6390" width="9.125" style="60"/>
    <col min="6391" max="6391" width="12.375" style="60" customWidth="1"/>
    <col min="6392" max="6392" width="25" style="60" customWidth="1"/>
    <col min="6393" max="6393" width="12.375" style="60" customWidth="1"/>
    <col min="6394" max="6394" width="25.75" style="60" customWidth="1"/>
    <col min="6395" max="6395" width="12.375" style="60" customWidth="1"/>
    <col min="6396" max="6396" width="14.375" style="60" customWidth="1"/>
    <col min="6397" max="6398" width="12.375" style="60" customWidth="1"/>
    <col min="6399" max="6399" width="14.375" style="60" customWidth="1"/>
    <col min="6400" max="6400" width="9.125" style="60"/>
    <col min="6401" max="6401" width="14.375" style="60" bestFit="1" customWidth="1"/>
    <col min="6402" max="6646" width="9.125" style="60"/>
    <col min="6647" max="6647" width="12.375" style="60" customWidth="1"/>
    <col min="6648" max="6648" width="25" style="60" customWidth="1"/>
    <col min="6649" max="6649" width="12.375" style="60" customWidth="1"/>
    <col min="6650" max="6650" width="25.75" style="60" customWidth="1"/>
    <col min="6651" max="6651" width="12.375" style="60" customWidth="1"/>
    <col min="6652" max="6652" width="14.375" style="60" customWidth="1"/>
    <col min="6653" max="6654" width="12.375" style="60" customWidth="1"/>
    <col min="6655" max="6655" width="14.375" style="60" customWidth="1"/>
    <col min="6656" max="6656" width="9.125" style="60"/>
    <col min="6657" max="6657" width="14.375" style="60" bestFit="1" customWidth="1"/>
    <col min="6658" max="6902" width="9.125" style="60"/>
    <col min="6903" max="6903" width="12.375" style="60" customWidth="1"/>
    <col min="6904" max="6904" width="25" style="60" customWidth="1"/>
    <col min="6905" max="6905" width="12.375" style="60" customWidth="1"/>
    <col min="6906" max="6906" width="25.75" style="60" customWidth="1"/>
    <col min="6907" max="6907" width="12.375" style="60" customWidth="1"/>
    <col min="6908" max="6908" width="14.375" style="60" customWidth="1"/>
    <col min="6909" max="6910" width="12.375" style="60" customWidth="1"/>
    <col min="6911" max="6911" width="14.375" style="60" customWidth="1"/>
    <col min="6912" max="6912" width="9.125" style="60"/>
    <col min="6913" max="6913" width="14.375" style="60" bestFit="1" customWidth="1"/>
    <col min="6914" max="7158" width="9.125" style="60"/>
    <col min="7159" max="7159" width="12.375" style="60" customWidth="1"/>
    <col min="7160" max="7160" width="25" style="60" customWidth="1"/>
    <col min="7161" max="7161" width="12.375" style="60" customWidth="1"/>
    <col min="7162" max="7162" width="25.75" style="60" customWidth="1"/>
    <col min="7163" max="7163" width="12.375" style="60" customWidth="1"/>
    <col min="7164" max="7164" width="14.375" style="60" customWidth="1"/>
    <col min="7165" max="7166" width="12.375" style="60" customWidth="1"/>
    <col min="7167" max="7167" width="14.375" style="60" customWidth="1"/>
    <col min="7168" max="7168" width="9.125" style="60"/>
    <col min="7169" max="7169" width="14.375" style="60" bestFit="1" customWidth="1"/>
    <col min="7170" max="7414" width="9.125" style="60"/>
    <col min="7415" max="7415" width="12.375" style="60" customWidth="1"/>
    <col min="7416" max="7416" width="25" style="60" customWidth="1"/>
    <col min="7417" max="7417" width="12.375" style="60" customWidth="1"/>
    <col min="7418" max="7418" width="25.75" style="60" customWidth="1"/>
    <col min="7419" max="7419" width="12.375" style="60" customWidth="1"/>
    <col min="7420" max="7420" width="14.375" style="60" customWidth="1"/>
    <col min="7421" max="7422" width="12.375" style="60" customWidth="1"/>
    <col min="7423" max="7423" width="14.375" style="60" customWidth="1"/>
    <col min="7424" max="7424" width="9.125" style="60"/>
    <col min="7425" max="7425" width="14.375" style="60" bestFit="1" customWidth="1"/>
    <col min="7426" max="7670" width="9.125" style="60"/>
    <col min="7671" max="7671" width="12.375" style="60" customWidth="1"/>
    <col min="7672" max="7672" width="25" style="60" customWidth="1"/>
    <col min="7673" max="7673" width="12.375" style="60" customWidth="1"/>
    <col min="7674" max="7674" width="25.75" style="60" customWidth="1"/>
    <col min="7675" max="7675" width="12.375" style="60" customWidth="1"/>
    <col min="7676" max="7676" width="14.375" style="60" customWidth="1"/>
    <col min="7677" max="7678" width="12.375" style="60" customWidth="1"/>
    <col min="7679" max="7679" width="14.375" style="60" customWidth="1"/>
    <col min="7680" max="7680" width="9.125" style="60"/>
    <col min="7681" max="7681" width="14.375" style="60" bestFit="1" customWidth="1"/>
    <col min="7682" max="7926" width="9.125" style="60"/>
    <col min="7927" max="7927" width="12.375" style="60" customWidth="1"/>
    <col min="7928" max="7928" width="25" style="60" customWidth="1"/>
    <col min="7929" max="7929" width="12.375" style="60" customWidth="1"/>
    <col min="7930" max="7930" width="25.75" style="60" customWidth="1"/>
    <col min="7931" max="7931" width="12.375" style="60" customWidth="1"/>
    <col min="7932" max="7932" width="14.375" style="60" customWidth="1"/>
    <col min="7933" max="7934" width="12.375" style="60" customWidth="1"/>
    <col min="7935" max="7935" width="14.375" style="60" customWidth="1"/>
    <col min="7936" max="7936" width="9.125" style="60"/>
    <col min="7937" max="7937" width="14.375" style="60" bestFit="1" customWidth="1"/>
    <col min="7938" max="8182" width="9.125" style="60"/>
    <col min="8183" max="8183" width="12.375" style="60" customWidth="1"/>
    <col min="8184" max="8184" width="25" style="60" customWidth="1"/>
    <col min="8185" max="8185" width="12.375" style="60" customWidth="1"/>
    <col min="8186" max="8186" width="25.75" style="60" customWidth="1"/>
    <col min="8187" max="8187" width="12.375" style="60" customWidth="1"/>
    <col min="8188" max="8188" width="14.375" style="60" customWidth="1"/>
    <col min="8189" max="8190" width="12.375" style="60" customWidth="1"/>
    <col min="8191" max="8191" width="14.375" style="60" customWidth="1"/>
    <col min="8192" max="8192" width="9.125" style="60"/>
    <col min="8193" max="8193" width="14.375" style="60" bestFit="1" customWidth="1"/>
    <col min="8194" max="8438" width="9.125" style="60"/>
    <col min="8439" max="8439" width="12.375" style="60" customWidth="1"/>
    <col min="8440" max="8440" width="25" style="60" customWidth="1"/>
    <col min="8441" max="8441" width="12.375" style="60" customWidth="1"/>
    <col min="8442" max="8442" width="25.75" style="60" customWidth="1"/>
    <col min="8443" max="8443" width="12.375" style="60" customWidth="1"/>
    <col min="8444" max="8444" width="14.375" style="60" customWidth="1"/>
    <col min="8445" max="8446" width="12.375" style="60" customWidth="1"/>
    <col min="8447" max="8447" width="14.375" style="60" customWidth="1"/>
    <col min="8448" max="8448" width="9.125" style="60"/>
    <col min="8449" max="8449" width="14.375" style="60" bestFit="1" customWidth="1"/>
    <col min="8450" max="8694" width="9.125" style="60"/>
    <col min="8695" max="8695" width="12.375" style="60" customWidth="1"/>
    <col min="8696" max="8696" width="25" style="60" customWidth="1"/>
    <col min="8697" max="8697" width="12.375" style="60" customWidth="1"/>
    <col min="8698" max="8698" width="25.75" style="60" customWidth="1"/>
    <col min="8699" max="8699" width="12.375" style="60" customWidth="1"/>
    <col min="8700" max="8700" width="14.375" style="60" customWidth="1"/>
    <col min="8701" max="8702" width="12.375" style="60" customWidth="1"/>
    <col min="8703" max="8703" width="14.375" style="60" customWidth="1"/>
    <col min="8704" max="8704" width="9.125" style="60"/>
    <col min="8705" max="8705" width="14.375" style="60" bestFit="1" customWidth="1"/>
    <col min="8706" max="8950" width="9.125" style="60"/>
    <col min="8951" max="8951" width="12.375" style="60" customWidth="1"/>
    <col min="8952" max="8952" width="25" style="60" customWidth="1"/>
    <col min="8953" max="8953" width="12.375" style="60" customWidth="1"/>
    <col min="8954" max="8954" width="25.75" style="60" customWidth="1"/>
    <col min="8955" max="8955" width="12.375" style="60" customWidth="1"/>
    <col min="8956" max="8956" width="14.375" style="60" customWidth="1"/>
    <col min="8957" max="8958" width="12.375" style="60" customWidth="1"/>
    <col min="8959" max="8959" width="14.375" style="60" customWidth="1"/>
    <col min="8960" max="8960" width="9.125" style="60"/>
    <col min="8961" max="8961" width="14.375" style="60" bestFit="1" customWidth="1"/>
    <col min="8962" max="9206" width="9.125" style="60"/>
    <col min="9207" max="9207" width="12.375" style="60" customWidth="1"/>
    <col min="9208" max="9208" width="25" style="60" customWidth="1"/>
    <col min="9209" max="9209" width="12.375" style="60" customWidth="1"/>
    <col min="9210" max="9210" width="25.75" style="60" customWidth="1"/>
    <col min="9211" max="9211" width="12.375" style="60" customWidth="1"/>
    <col min="9212" max="9212" width="14.375" style="60" customWidth="1"/>
    <col min="9213" max="9214" width="12.375" style="60" customWidth="1"/>
    <col min="9215" max="9215" width="14.375" style="60" customWidth="1"/>
    <col min="9216" max="9216" width="9.125" style="60"/>
    <col min="9217" max="9217" width="14.375" style="60" bestFit="1" customWidth="1"/>
    <col min="9218" max="9462" width="9.125" style="60"/>
    <col min="9463" max="9463" width="12.375" style="60" customWidth="1"/>
    <col min="9464" max="9464" width="25" style="60" customWidth="1"/>
    <col min="9465" max="9465" width="12.375" style="60" customWidth="1"/>
    <col min="9466" max="9466" width="25.75" style="60" customWidth="1"/>
    <col min="9467" max="9467" width="12.375" style="60" customWidth="1"/>
    <col min="9468" max="9468" width="14.375" style="60" customWidth="1"/>
    <col min="9469" max="9470" width="12.375" style="60" customWidth="1"/>
    <col min="9471" max="9471" width="14.375" style="60" customWidth="1"/>
    <col min="9472" max="9472" width="9.125" style="60"/>
    <col min="9473" max="9473" width="14.375" style="60" bestFit="1" customWidth="1"/>
    <col min="9474" max="9718" width="9.125" style="60"/>
    <col min="9719" max="9719" width="12.375" style="60" customWidth="1"/>
    <col min="9720" max="9720" width="25" style="60" customWidth="1"/>
    <col min="9721" max="9721" width="12.375" style="60" customWidth="1"/>
    <col min="9722" max="9722" width="25.75" style="60" customWidth="1"/>
    <col min="9723" max="9723" width="12.375" style="60" customWidth="1"/>
    <col min="9724" max="9724" width="14.375" style="60" customWidth="1"/>
    <col min="9725" max="9726" width="12.375" style="60" customWidth="1"/>
    <col min="9727" max="9727" width="14.375" style="60" customWidth="1"/>
    <col min="9728" max="9728" width="9.125" style="60"/>
    <col min="9729" max="9729" width="14.375" style="60" bestFit="1" customWidth="1"/>
    <col min="9730" max="9974" width="9.125" style="60"/>
    <col min="9975" max="9975" width="12.375" style="60" customWidth="1"/>
    <col min="9976" max="9976" width="25" style="60" customWidth="1"/>
    <col min="9977" max="9977" width="12.375" style="60" customWidth="1"/>
    <col min="9978" max="9978" width="25.75" style="60" customWidth="1"/>
    <col min="9979" max="9979" width="12.375" style="60" customWidth="1"/>
    <col min="9980" max="9980" width="14.375" style="60" customWidth="1"/>
    <col min="9981" max="9982" width="12.375" style="60" customWidth="1"/>
    <col min="9983" max="9983" width="14.375" style="60" customWidth="1"/>
    <col min="9984" max="9984" width="9.125" style="60"/>
    <col min="9985" max="9985" width="14.375" style="60" bestFit="1" customWidth="1"/>
    <col min="9986" max="10230" width="9.125" style="60"/>
    <col min="10231" max="10231" width="12.375" style="60" customWidth="1"/>
    <col min="10232" max="10232" width="25" style="60" customWidth="1"/>
    <col min="10233" max="10233" width="12.375" style="60" customWidth="1"/>
    <col min="10234" max="10234" width="25.75" style="60" customWidth="1"/>
    <col min="10235" max="10235" width="12.375" style="60" customWidth="1"/>
    <col min="10236" max="10236" width="14.375" style="60" customWidth="1"/>
    <col min="10237" max="10238" width="12.375" style="60" customWidth="1"/>
    <col min="10239" max="10239" width="14.375" style="60" customWidth="1"/>
    <col min="10240" max="10240" width="9.125" style="60"/>
    <col min="10241" max="10241" width="14.375" style="60" bestFit="1" customWidth="1"/>
    <col min="10242" max="10486" width="9.125" style="60"/>
    <col min="10487" max="10487" width="12.375" style="60" customWidth="1"/>
    <col min="10488" max="10488" width="25" style="60" customWidth="1"/>
    <col min="10489" max="10489" width="12.375" style="60" customWidth="1"/>
    <col min="10490" max="10490" width="25.75" style="60" customWidth="1"/>
    <col min="10491" max="10491" width="12.375" style="60" customWidth="1"/>
    <col min="10492" max="10492" width="14.375" style="60" customWidth="1"/>
    <col min="10493" max="10494" width="12.375" style="60" customWidth="1"/>
    <col min="10495" max="10495" width="14.375" style="60" customWidth="1"/>
    <col min="10496" max="10496" width="9.125" style="60"/>
    <col min="10497" max="10497" width="14.375" style="60" bestFit="1" customWidth="1"/>
    <col min="10498" max="10742" width="9.125" style="60"/>
    <col min="10743" max="10743" width="12.375" style="60" customWidth="1"/>
    <col min="10744" max="10744" width="25" style="60" customWidth="1"/>
    <col min="10745" max="10745" width="12.375" style="60" customWidth="1"/>
    <col min="10746" max="10746" width="25.75" style="60" customWidth="1"/>
    <col min="10747" max="10747" width="12.375" style="60" customWidth="1"/>
    <col min="10748" max="10748" width="14.375" style="60" customWidth="1"/>
    <col min="10749" max="10750" width="12.375" style="60" customWidth="1"/>
    <col min="10751" max="10751" width="14.375" style="60" customWidth="1"/>
    <col min="10752" max="10752" width="9.125" style="60"/>
    <col min="10753" max="10753" width="14.375" style="60" bestFit="1" customWidth="1"/>
    <col min="10754" max="10998" width="9.125" style="60"/>
    <col min="10999" max="10999" width="12.375" style="60" customWidth="1"/>
    <col min="11000" max="11000" width="25" style="60" customWidth="1"/>
    <col min="11001" max="11001" width="12.375" style="60" customWidth="1"/>
    <col min="11002" max="11002" width="25.75" style="60" customWidth="1"/>
    <col min="11003" max="11003" width="12.375" style="60" customWidth="1"/>
    <col min="11004" max="11004" width="14.375" style="60" customWidth="1"/>
    <col min="11005" max="11006" width="12.375" style="60" customWidth="1"/>
    <col min="11007" max="11007" width="14.375" style="60" customWidth="1"/>
    <col min="11008" max="11008" width="9.125" style="60"/>
    <col min="11009" max="11009" width="14.375" style="60" bestFit="1" customWidth="1"/>
    <col min="11010" max="11254" width="9.125" style="60"/>
    <col min="11255" max="11255" width="12.375" style="60" customWidth="1"/>
    <col min="11256" max="11256" width="25" style="60" customWidth="1"/>
    <col min="11257" max="11257" width="12.375" style="60" customWidth="1"/>
    <col min="11258" max="11258" width="25.75" style="60" customWidth="1"/>
    <col min="11259" max="11259" width="12.375" style="60" customWidth="1"/>
    <col min="11260" max="11260" width="14.375" style="60" customWidth="1"/>
    <col min="11261" max="11262" width="12.375" style="60" customWidth="1"/>
    <col min="11263" max="11263" width="14.375" style="60" customWidth="1"/>
    <col min="11264" max="11264" width="9.125" style="60"/>
    <col min="11265" max="11265" width="14.375" style="60" bestFit="1" customWidth="1"/>
    <col min="11266" max="11510" width="9.125" style="60"/>
    <col min="11511" max="11511" width="12.375" style="60" customWidth="1"/>
    <col min="11512" max="11512" width="25" style="60" customWidth="1"/>
    <col min="11513" max="11513" width="12.375" style="60" customWidth="1"/>
    <col min="11514" max="11514" width="25.75" style="60" customWidth="1"/>
    <col min="11515" max="11515" width="12.375" style="60" customWidth="1"/>
    <col min="11516" max="11516" width="14.375" style="60" customWidth="1"/>
    <col min="11517" max="11518" width="12.375" style="60" customWidth="1"/>
    <col min="11519" max="11519" width="14.375" style="60" customWidth="1"/>
    <col min="11520" max="11520" width="9.125" style="60"/>
    <col min="11521" max="11521" width="14.375" style="60" bestFit="1" customWidth="1"/>
    <col min="11522" max="11766" width="9.125" style="60"/>
    <col min="11767" max="11767" width="12.375" style="60" customWidth="1"/>
    <col min="11768" max="11768" width="25" style="60" customWidth="1"/>
    <col min="11769" max="11769" width="12.375" style="60" customWidth="1"/>
    <col min="11770" max="11770" width="25.75" style="60" customWidth="1"/>
    <col min="11771" max="11771" width="12.375" style="60" customWidth="1"/>
    <col min="11772" max="11772" width="14.375" style="60" customWidth="1"/>
    <col min="11773" max="11774" width="12.375" style="60" customWidth="1"/>
    <col min="11775" max="11775" width="14.375" style="60" customWidth="1"/>
    <col min="11776" max="11776" width="9.125" style="60"/>
    <col min="11777" max="11777" width="14.375" style="60" bestFit="1" customWidth="1"/>
    <col min="11778" max="12022" width="9.125" style="60"/>
    <col min="12023" max="12023" width="12.375" style="60" customWidth="1"/>
    <col min="12024" max="12024" width="25" style="60" customWidth="1"/>
    <col min="12025" max="12025" width="12.375" style="60" customWidth="1"/>
    <col min="12026" max="12026" width="25.75" style="60" customWidth="1"/>
    <col min="12027" max="12027" width="12.375" style="60" customWidth="1"/>
    <col min="12028" max="12028" width="14.375" style="60" customWidth="1"/>
    <col min="12029" max="12030" width="12.375" style="60" customWidth="1"/>
    <col min="12031" max="12031" width="14.375" style="60" customWidth="1"/>
    <col min="12032" max="12032" width="9.125" style="60"/>
    <col min="12033" max="12033" width="14.375" style="60" bestFit="1" customWidth="1"/>
    <col min="12034" max="12278" width="9.125" style="60"/>
    <col min="12279" max="12279" width="12.375" style="60" customWidth="1"/>
    <col min="12280" max="12280" width="25" style="60" customWidth="1"/>
    <col min="12281" max="12281" width="12.375" style="60" customWidth="1"/>
    <col min="12282" max="12282" width="25.75" style="60" customWidth="1"/>
    <col min="12283" max="12283" width="12.375" style="60" customWidth="1"/>
    <col min="12284" max="12284" width="14.375" style="60" customWidth="1"/>
    <col min="12285" max="12286" width="12.375" style="60" customWidth="1"/>
    <col min="12287" max="12287" width="14.375" style="60" customWidth="1"/>
    <col min="12288" max="12288" width="9.125" style="60"/>
    <col min="12289" max="12289" width="14.375" style="60" bestFit="1" customWidth="1"/>
    <col min="12290" max="12534" width="9.125" style="60"/>
    <col min="12535" max="12535" width="12.375" style="60" customWidth="1"/>
    <col min="12536" max="12536" width="25" style="60" customWidth="1"/>
    <col min="12537" max="12537" width="12.375" style="60" customWidth="1"/>
    <col min="12538" max="12538" width="25.75" style="60" customWidth="1"/>
    <col min="12539" max="12539" width="12.375" style="60" customWidth="1"/>
    <col min="12540" max="12540" width="14.375" style="60" customWidth="1"/>
    <col min="12541" max="12542" width="12.375" style="60" customWidth="1"/>
    <col min="12543" max="12543" width="14.375" style="60" customWidth="1"/>
    <col min="12544" max="12544" width="9.125" style="60"/>
    <col min="12545" max="12545" width="14.375" style="60" bestFit="1" customWidth="1"/>
    <col min="12546" max="12790" width="9.125" style="60"/>
    <col min="12791" max="12791" width="12.375" style="60" customWidth="1"/>
    <col min="12792" max="12792" width="25" style="60" customWidth="1"/>
    <col min="12793" max="12793" width="12.375" style="60" customWidth="1"/>
    <col min="12794" max="12794" width="25.75" style="60" customWidth="1"/>
    <col min="12795" max="12795" width="12.375" style="60" customWidth="1"/>
    <col min="12796" max="12796" width="14.375" style="60" customWidth="1"/>
    <col min="12797" max="12798" width="12.375" style="60" customWidth="1"/>
    <col min="12799" max="12799" width="14.375" style="60" customWidth="1"/>
    <col min="12800" max="12800" width="9.125" style="60"/>
    <col min="12801" max="12801" width="14.375" style="60" bestFit="1" customWidth="1"/>
    <col min="12802" max="13046" width="9.125" style="60"/>
    <col min="13047" max="13047" width="12.375" style="60" customWidth="1"/>
    <col min="13048" max="13048" width="25" style="60" customWidth="1"/>
    <col min="13049" max="13049" width="12.375" style="60" customWidth="1"/>
    <col min="13050" max="13050" width="25.75" style="60" customWidth="1"/>
    <col min="13051" max="13051" width="12.375" style="60" customWidth="1"/>
    <col min="13052" max="13052" width="14.375" style="60" customWidth="1"/>
    <col min="13053" max="13054" width="12.375" style="60" customWidth="1"/>
    <col min="13055" max="13055" width="14.375" style="60" customWidth="1"/>
    <col min="13056" max="13056" width="9.125" style="60"/>
    <col min="13057" max="13057" width="14.375" style="60" bestFit="1" customWidth="1"/>
    <col min="13058" max="13302" width="9.125" style="60"/>
    <col min="13303" max="13303" width="12.375" style="60" customWidth="1"/>
    <col min="13304" max="13304" width="25" style="60" customWidth="1"/>
    <col min="13305" max="13305" width="12.375" style="60" customWidth="1"/>
    <col min="13306" max="13306" width="25.75" style="60" customWidth="1"/>
    <col min="13307" max="13307" width="12.375" style="60" customWidth="1"/>
    <col min="13308" max="13308" width="14.375" style="60" customWidth="1"/>
    <col min="13309" max="13310" width="12.375" style="60" customWidth="1"/>
    <col min="13311" max="13311" width="14.375" style="60" customWidth="1"/>
    <col min="13312" max="13312" width="9.125" style="60"/>
    <col min="13313" max="13313" width="14.375" style="60" bestFit="1" customWidth="1"/>
    <col min="13314" max="13558" width="9.125" style="60"/>
    <col min="13559" max="13559" width="12.375" style="60" customWidth="1"/>
    <col min="13560" max="13560" width="25" style="60" customWidth="1"/>
    <col min="13561" max="13561" width="12.375" style="60" customWidth="1"/>
    <col min="13562" max="13562" width="25.75" style="60" customWidth="1"/>
    <col min="13563" max="13563" width="12.375" style="60" customWidth="1"/>
    <col min="13564" max="13564" width="14.375" style="60" customWidth="1"/>
    <col min="13565" max="13566" width="12.375" style="60" customWidth="1"/>
    <col min="13567" max="13567" width="14.375" style="60" customWidth="1"/>
    <col min="13568" max="13568" width="9.125" style="60"/>
    <col min="13569" max="13569" width="14.375" style="60" bestFit="1" customWidth="1"/>
    <col min="13570" max="13814" width="9.125" style="60"/>
    <col min="13815" max="13815" width="12.375" style="60" customWidth="1"/>
    <col min="13816" max="13816" width="25" style="60" customWidth="1"/>
    <col min="13817" max="13817" width="12.375" style="60" customWidth="1"/>
    <col min="13818" max="13818" width="25.75" style="60" customWidth="1"/>
    <col min="13819" max="13819" width="12.375" style="60" customWidth="1"/>
    <col min="13820" max="13820" width="14.375" style="60" customWidth="1"/>
    <col min="13821" max="13822" width="12.375" style="60" customWidth="1"/>
    <col min="13823" max="13823" width="14.375" style="60" customWidth="1"/>
    <col min="13824" max="13824" width="9.125" style="60"/>
    <col min="13825" max="13825" width="14.375" style="60" bestFit="1" customWidth="1"/>
    <col min="13826" max="14070" width="9.125" style="60"/>
    <col min="14071" max="14071" width="12.375" style="60" customWidth="1"/>
    <col min="14072" max="14072" width="25" style="60" customWidth="1"/>
    <col min="14073" max="14073" width="12.375" style="60" customWidth="1"/>
    <col min="14074" max="14074" width="25.75" style="60" customWidth="1"/>
    <col min="14075" max="14075" width="12.375" style="60" customWidth="1"/>
    <col min="14076" max="14076" width="14.375" style="60" customWidth="1"/>
    <col min="14077" max="14078" width="12.375" style="60" customWidth="1"/>
    <col min="14079" max="14079" width="14.375" style="60" customWidth="1"/>
    <col min="14080" max="14080" width="9.125" style="60"/>
    <col min="14081" max="14081" width="14.375" style="60" bestFit="1" customWidth="1"/>
    <col min="14082" max="14326" width="9.125" style="60"/>
    <col min="14327" max="14327" width="12.375" style="60" customWidth="1"/>
    <col min="14328" max="14328" width="25" style="60" customWidth="1"/>
    <col min="14329" max="14329" width="12.375" style="60" customWidth="1"/>
    <col min="14330" max="14330" width="25.75" style="60" customWidth="1"/>
    <col min="14331" max="14331" width="12.375" style="60" customWidth="1"/>
    <col min="14332" max="14332" width="14.375" style="60" customWidth="1"/>
    <col min="14333" max="14334" width="12.375" style="60" customWidth="1"/>
    <col min="14335" max="14335" width="14.375" style="60" customWidth="1"/>
    <col min="14336" max="14336" width="9.125" style="60"/>
    <col min="14337" max="14337" width="14.375" style="60" bestFit="1" customWidth="1"/>
    <col min="14338" max="14582" width="9.125" style="60"/>
    <col min="14583" max="14583" width="12.375" style="60" customWidth="1"/>
    <col min="14584" max="14584" width="25" style="60" customWidth="1"/>
    <col min="14585" max="14585" width="12.375" style="60" customWidth="1"/>
    <col min="14586" max="14586" width="25.75" style="60" customWidth="1"/>
    <col min="14587" max="14587" width="12.375" style="60" customWidth="1"/>
    <col min="14588" max="14588" width="14.375" style="60" customWidth="1"/>
    <col min="14589" max="14590" width="12.375" style="60" customWidth="1"/>
    <col min="14591" max="14591" width="14.375" style="60" customWidth="1"/>
    <col min="14592" max="14592" width="9.125" style="60"/>
    <col min="14593" max="14593" width="14.375" style="60" bestFit="1" customWidth="1"/>
    <col min="14594" max="14838" width="9.125" style="60"/>
    <col min="14839" max="14839" width="12.375" style="60" customWidth="1"/>
    <col min="14840" max="14840" width="25" style="60" customWidth="1"/>
    <col min="14841" max="14841" width="12.375" style="60" customWidth="1"/>
    <col min="14842" max="14842" width="25.75" style="60" customWidth="1"/>
    <col min="14843" max="14843" width="12.375" style="60" customWidth="1"/>
    <col min="14844" max="14844" width="14.375" style="60" customWidth="1"/>
    <col min="14845" max="14846" width="12.375" style="60" customWidth="1"/>
    <col min="14847" max="14847" width="14.375" style="60" customWidth="1"/>
    <col min="14848" max="14848" width="9.125" style="60"/>
    <col min="14849" max="14849" width="14.375" style="60" bestFit="1" customWidth="1"/>
    <col min="14850" max="15094" width="9.125" style="60"/>
    <col min="15095" max="15095" width="12.375" style="60" customWidth="1"/>
    <col min="15096" max="15096" width="25" style="60" customWidth="1"/>
    <col min="15097" max="15097" width="12.375" style="60" customWidth="1"/>
    <col min="15098" max="15098" width="25.75" style="60" customWidth="1"/>
    <col min="15099" max="15099" width="12.375" style="60" customWidth="1"/>
    <col min="15100" max="15100" width="14.375" style="60" customWidth="1"/>
    <col min="15101" max="15102" width="12.375" style="60" customWidth="1"/>
    <col min="15103" max="15103" width="14.375" style="60" customWidth="1"/>
    <col min="15104" max="15104" width="9.125" style="60"/>
    <col min="15105" max="15105" width="14.375" style="60" bestFit="1" customWidth="1"/>
    <col min="15106" max="15350" width="9.125" style="60"/>
    <col min="15351" max="15351" width="12.375" style="60" customWidth="1"/>
    <col min="15352" max="15352" width="25" style="60" customWidth="1"/>
    <col min="15353" max="15353" width="12.375" style="60" customWidth="1"/>
    <col min="15354" max="15354" width="25.75" style="60" customWidth="1"/>
    <col min="15355" max="15355" width="12.375" style="60" customWidth="1"/>
    <col min="15356" max="15356" width="14.375" style="60" customWidth="1"/>
    <col min="15357" max="15358" width="12.375" style="60" customWidth="1"/>
    <col min="15359" max="15359" width="14.375" style="60" customWidth="1"/>
    <col min="15360" max="15360" width="9.125" style="60"/>
    <col min="15361" max="15361" width="14.375" style="60" bestFit="1" customWidth="1"/>
    <col min="15362" max="15606" width="9.125" style="60"/>
    <col min="15607" max="15607" width="12.375" style="60" customWidth="1"/>
    <col min="15608" max="15608" width="25" style="60" customWidth="1"/>
    <col min="15609" max="15609" width="12.375" style="60" customWidth="1"/>
    <col min="15610" max="15610" width="25.75" style="60" customWidth="1"/>
    <col min="15611" max="15611" width="12.375" style="60" customWidth="1"/>
    <col min="15612" max="15612" width="14.375" style="60" customWidth="1"/>
    <col min="15613" max="15614" width="12.375" style="60" customWidth="1"/>
    <col min="15615" max="15615" width="14.375" style="60" customWidth="1"/>
    <col min="15616" max="15616" width="9.125" style="60"/>
    <col min="15617" max="15617" width="14.375" style="60" bestFit="1" customWidth="1"/>
    <col min="15618" max="15862" width="9.125" style="60"/>
    <col min="15863" max="15863" width="12.375" style="60" customWidth="1"/>
    <col min="15864" max="15864" width="25" style="60" customWidth="1"/>
    <col min="15865" max="15865" width="12.375" style="60" customWidth="1"/>
    <col min="15866" max="15866" width="25.75" style="60" customWidth="1"/>
    <col min="15867" max="15867" width="12.375" style="60" customWidth="1"/>
    <col min="15868" max="15868" width="14.375" style="60" customWidth="1"/>
    <col min="15869" max="15870" width="12.375" style="60" customWidth="1"/>
    <col min="15871" max="15871" width="14.375" style="60" customWidth="1"/>
    <col min="15872" max="15872" width="9.125" style="60"/>
    <col min="15873" max="15873" width="14.375" style="60" bestFit="1" customWidth="1"/>
    <col min="15874" max="16118" width="9.125" style="60"/>
    <col min="16119" max="16119" width="12.375" style="60" customWidth="1"/>
    <col min="16120" max="16120" width="25" style="60" customWidth="1"/>
    <col min="16121" max="16121" width="12.375" style="60" customWidth="1"/>
    <col min="16122" max="16122" width="25.75" style="60" customWidth="1"/>
    <col min="16123" max="16123" width="12.375" style="60" customWidth="1"/>
    <col min="16124" max="16124" width="14.375" style="60" customWidth="1"/>
    <col min="16125" max="16126" width="12.375" style="60" customWidth="1"/>
    <col min="16127" max="16127" width="14.375" style="60" customWidth="1"/>
    <col min="16128" max="16128" width="9.125" style="60"/>
    <col min="16129" max="16129" width="14.375" style="60" bestFit="1" customWidth="1"/>
    <col min="16130" max="16384" width="9.125" style="60"/>
  </cols>
  <sheetData>
    <row r="2" spans="1:14" ht="15.95" customHeight="1">
      <c r="A2" s="60" t="s">
        <v>1637</v>
      </c>
      <c r="B2" s="60" t="s">
        <v>1638</v>
      </c>
      <c r="L2" s="63" t="s">
        <v>1639</v>
      </c>
      <c r="N2" s="60" t="s">
        <v>1640</v>
      </c>
    </row>
    <row r="3" spans="1:14" ht="15.95" customHeight="1">
      <c r="A3" s="59" t="s">
        <v>1606</v>
      </c>
      <c r="B3" s="59" t="s">
        <v>1607</v>
      </c>
      <c r="C3" s="59" t="s">
        <v>1608</v>
      </c>
      <c r="D3" s="59" t="s">
        <v>542</v>
      </c>
      <c r="E3" s="59" t="s">
        <v>1609</v>
      </c>
      <c r="F3" s="59" t="s">
        <v>1610</v>
      </c>
      <c r="G3" s="59" t="s">
        <v>1611</v>
      </c>
      <c r="H3" s="59" t="s">
        <v>1612</v>
      </c>
      <c r="I3" s="59" t="s">
        <v>1613</v>
      </c>
      <c r="K3" s="60" t="s">
        <v>542</v>
      </c>
    </row>
    <row r="4" spans="1:14" ht="15.95" customHeight="1">
      <c r="A4" s="61" t="s">
        <v>1614</v>
      </c>
      <c r="B4" s="61" t="s">
        <v>519</v>
      </c>
      <c r="C4" s="61" t="s">
        <v>1615</v>
      </c>
      <c r="D4" s="61" t="s">
        <v>67</v>
      </c>
      <c r="E4" s="61" t="s">
        <v>1616</v>
      </c>
      <c r="F4" s="62">
        <v>207476875</v>
      </c>
      <c r="G4" s="62">
        <v>0</v>
      </c>
      <c r="H4" s="62">
        <v>0</v>
      </c>
      <c r="I4" s="62">
        <v>207476875</v>
      </c>
      <c r="K4" s="60" t="s">
        <v>67</v>
      </c>
      <c r="L4" s="63">
        <f>SUMIF($D:$D,K4,$I:$I)</f>
        <v>207476875</v>
      </c>
    </row>
    <row r="5" spans="1:14" ht="15.95" customHeight="1">
      <c r="A5" s="61" t="s">
        <v>1614</v>
      </c>
      <c r="B5" s="61" t="s">
        <v>519</v>
      </c>
      <c r="C5" s="61" t="s">
        <v>128</v>
      </c>
      <c r="D5" s="61" t="s">
        <v>129</v>
      </c>
      <c r="E5" s="61" t="s">
        <v>1616</v>
      </c>
      <c r="F5" s="62">
        <v>0</v>
      </c>
      <c r="G5" s="62">
        <v>6828862305</v>
      </c>
      <c r="H5" s="62">
        <v>2731869088</v>
      </c>
      <c r="I5" s="62">
        <v>4096993217</v>
      </c>
      <c r="K5" s="60" t="s">
        <v>129</v>
      </c>
      <c r="L5" s="63">
        <f t="shared" ref="L5:L17" si="0">SUMIF($D:$D,K5,$I:$I)</f>
        <v>4096993217</v>
      </c>
    </row>
    <row r="6" spans="1:14" ht="15.95" customHeight="1">
      <c r="A6" s="61" t="s">
        <v>1614</v>
      </c>
      <c r="B6" s="61" t="s">
        <v>519</v>
      </c>
      <c r="C6" s="61" t="s">
        <v>317</v>
      </c>
      <c r="D6" s="61" t="s">
        <v>318</v>
      </c>
      <c r="E6" s="61" t="s">
        <v>1616</v>
      </c>
      <c r="F6" s="62">
        <v>0</v>
      </c>
      <c r="G6" s="62">
        <v>0</v>
      </c>
      <c r="H6" s="62">
        <v>12831289</v>
      </c>
      <c r="I6" s="62">
        <v>12831289</v>
      </c>
      <c r="K6" s="66" t="s">
        <v>318</v>
      </c>
      <c r="L6" s="67">
        <f t="shared" si="0"/>
        <v>12831289</v>
      </c>
    </row>
    <row r="7" spans="1:14" ht="15.95" customHeight="1">
      <c r="A7" s="61" t="s">
        <v>1617</v>
      </c>
      <c r="B7" s="61" t="s">
        <v>1618</v>
      </c>
      <c r="C7" s="61" t="s">
        <v>1619</v>
      </c>
      <c r="D7" s="61" t="s">
        <v>26</v>
      </c>
      <c r="E7" s="61" t="s">
        <v>1620</v>
      </c>
      <c r="F7" s="62">
        <v>24598200</v>
      </c>
      <c r="G7" s="62">
        <v>3315600</v>
      </c>
      <c r="H7" s="62">
        <v>5934600</v>
      </c>
      <c r="I7" s="62">
        <v>21979200</v>
      </c>
      <c r="K7" s="64" t="s">
        <v>26</v>
      </c>
      <c r="L7" s="65">
        <f t="shared" si="0"/>
        <v>4407094005</v>
      </c>
      <c r="N7" s="60" t="s">
        <v>139</v>
      </c>
    </row>
    <row r="8" spans="1:14" ht="15.95" customHeight="1">
      <c r="A8" s="61" t="s">
        <v>1617</v>
      </c>
      <c r="B8" s="61" t="s">
        <v>1618</v>
      </c>
      <c r="C8" s="61" t="s">
        <v>1352</v>
      </c>
      <c r="D8" s="61" t="s">
        <v>527</v>
      </c>
      <c r="E8" s="61" t="s">
        <v>1620</v>
      </c>
      <c r="F8" s="62">
        <v>9773508262</v>
      </c>
      <c r="G8" s="62">
        <v>0</v>
      </c>
      <c r="H8" s="62">
        <v>0</v>
      </c>
      <c r="I8" s="62">
        <v>9773508262</v>
      </c>
      <c r="K8" s="60" t="s">
        <v>527</v>
      </c>
      <c r="L8" s="63">
        <f t="shared" si="0"/>
        <v>9875157897</v>
      </c>
    </row>
    <row r="9" spans="1:14" ht="15.95" customHeight="1">
      <c r="A9" s="61" t="s">
        <v>1621</v>
      </c>
      <c r="B9" s="61" t="s">
        <v>1622</v>
      </c>
      <c r="C9" s="61" t="s">
        <v>1623</v>
      </c>
      <c r="D9" s="61" t="s">
        <v>139</v>
      </c>
      <c r="E9" s="61" t="s">
        <v>1624</v>
      </c>
      <c r="F9" s="62">
        <v>917350078</v>
      </c>
      <c r="G9" s="62">
        <v>107069301</v>
      </c>
      <c r="H9" s="62">
        <v>138820887</v>
      </c>
      <c r="I9" s="62">
        <v>949101664</v>
      </c>
      <c r="K9" s="64" t="s">
        <v>139</v>
      </c>
      <c r="L9" s="65">
        <f t="shared" si="0"/>
        <v>949101664</v>
      </c>
      <c r="N9" s="60" t="s">
        <v>26</v>
      </c>
    </row>
    <row r="10" spans="1:14" ht="15.95" customHeight="1">
      <c r="A10" s="61" t="s">
        <v>1625</v>
      </c>
      <c r="B10" s="61" t="s">
        <v>512</v>
      </c>
      <c r="C10" s="61" t="s">
        <v>1619</v>
      </c>
      <c r="D10" s="61" t="s">
        <v>26</v>
      </c>
      <c r="E10" s="61" t="s">
        <v>1620</v>
      </c>
      <c r="F10" s="62">
        <v>4726130293</v>
      </c>
      <c r="G10" s="62">
        <v>991418379</v>
      </c>
      <c r="H10" s="62">
        <v>1415260656</v>
      </c>
      <c r="I10" s="62">
        <v>4302288016</v>
      </c>
      <c r="K10" s="64" t="s">
        <v>145</v>
      </c>
      <c r="L10" s="65">
        <f t="shared" si="0"/>
        <v>8601548</v>
      </c>
      <c r="N10" s="60" t="s">
        <v>1641</v>
      </c>
    </row>
    <row r="11" spans="1:14" ht="15.95" customHeight="1">
      <c r="A11" s="61" t="s">
        <v>1625</v>
      </c>
      <c r="B11" s="61" t="s">
        <v>512</v>
      </c>
      <c r="C11" s="61" t="s">
        <v>1626</v>
      </c>
      <c r="D11" s="61" t="s">
        <v>145</v>
      </c>
      <c r="E11" s="61" t="s">
        <v>1620</v>
      </c>
      <c r="F11" s="62">
        <v>102927590</v>
      </c>
      <c r="G11" s="62">
        <v>86301717</v>
      </c>
      <c r="H11" s="62">
        <v>-8024325</v>
      </c>
      <c r="I11" s="62">
        <v>8601548</v>
      </c>
      <c r="K11" s="66" t="s">
        <v>615</v>
      </c>
      <c r="L11" s="67">
        <f t="shared" si="0"/>
        <v>154987587</v>
      </c>
    </row>
    <row r="12" spans="1:14" ht="15.95" customHeight="1">
      <c r="A12" s="61" t="s">
        <v>1625</v>
      </c>
      <c r="B12" s="61" t="s">
        <v>512</v>
      </c>
      <c r="C12" s="61" t="s">
        <v>1352</v>
      </c>
      <c r="D12" s="61" t="s">
        <v>527</v>
      </c>
      <c r="E12" s="61" t="s">
        <v>1620</v>
      </c>
      <c r="F12" s="62">
        <v>101649635</v>
      </c>
      <c r="G12" s="62">
        <v>0</v>
      </c>
      <c r="H12" s="62">
        <v>0</v>
      </c>
      <c r="I12" s="62">
        <v>101649635</v>
      </c>
      <c r="K12" s="66" t="s">
        <v>616</v>
      </c>
      <c r="L12" s="67">
        <f t="shared" si="0"/>
        <v>-24022782</v>
      </c>
    </row>
    <row r="13" spans="1:14" ht="15.95" customHeight="1">
      <c r="A13" s="61" t="s">
        <v>1625</v>
      </c>
      <c r="B13" s="61" t="s">
        <v>512</v>
      </c>
      <c r="C13" s="61" t="s">
        <v>1627</v>
      </c>
      <c r="D13" s="61" t="s">
        <v>615</v>
      </c>
      <c r="E13" s="61" t="s">
        <v>1620</v>
      </c>
      <c r="F13" s="62">
        <v>0</v>
      </c>
      <c r="G13" s="62">
        <v>0</v>
      </c>
      <c r="H13" s="62">
        <v>154987587</v>
      </c>
      <c r="I13" s="62">
        <v>154987587</v>
      </c>
      <c r="K13" s="66" t="s">
        <v>620</v>
      </c>
      <c r="L13" s="67">
        <f t="shared" si="0"/>
        <v>816683602</v>
      </c>
    </row>
    <row r="14" spans="1:14" ht="15.95" customHeight="1">
      <c r="A14" s="61" t="s">
        <v>1625</v>
      </c>
      <c r="B14" s="61" t="s">
        <v>512</v>
      </c>
      <c r="C14" s="61" t="s">
        <v>1628</v>
      </c>
      <c r="D14" s="61" t="s">
        <v>616</v>
      </c>
      <c r="E14" s="61" t="s">
        <v>1620</v>
      </c>
      <c r="F14" s="62">
        <v>0</v>
      </c>
      <c r="G14" s="62">
        <v>0</v>
      </c>
      <c r="H14" s="62">
        <v>-32607</v>
      </c>
      <c r="I14" s="62">
        <v>-32607</v>
      </c>
      <c r="K14" s="66" t="s">
        <v>621</v>
      </c>
      <c r="L14" s="67">
        <f t="shared" si="0"/>
        <v>-394852595</v>
      </c>
    </row>
    <row r="15" spans="1:14" ht="15.95" customHeight="1">
      <c r="A15" s="61" t="s">
        <v>1625</v>
      </c>
      <c r="B15" s="61" t="s">
        <v>512</v>
      </c>
      <c r="C15" s="61" t="s">
        <v>1629</v>
      </c>
      <c r="D15" s="61" t="s">
        <v>620</v>
      </c>
      <c r="E15" s="61" t="s">
        <v>1620</v>
      </c>
      <c r="F15" s="62">
        <v>0</v>
      </c>
      <c r="G15" s="62">
        <v>0</v>
      </c>
      <c r="H15" s="62">
        <v>656244159</v>
      </c>
      <c r="I15" s="62">
        <v>656244159</v>
      </c>
      <c r="K15" s="64" t="s">
        <v>24</v>
      </c>
      <c r="L15" s="65">
        <f t="shared" si="0"/>
        <v>57500000</v>
      </c>
      <c r="N15" s="60" t="s">
        <v>138</v>
      </c>
    </row>
    <row r="16" spans="1:14" ht="15.95" customHeight="1">
      <c r="A16" s="61" t="s">
        <v>1625</v>
      </c>
      <c r="B16" s="61" t="s">
        <v>512</v>
      </c>
      <c r="C16" s="61" t="s">
        <v>1630</v>
      </c>
      <c r="D16" s="61" t="s">
        <v>621</v>
      </c>
      <c r="E16" s="61" t="s">
        <v>1620</v>
      </c>
      <c r="F16" s="62">
        <v>0</v>
      </c>
      <c r="G16" s="62">
        <v>0</v>
      </c>
      <c r="H16" s="62">
        <v>-394852595</v>
      </c>
      <c r="I16" s="62">
        <v>-394852595</v>
      </c>
      <c r="K16" s="64" t="s">
        <v>33</v>
      </c>
      <c r="L16" s="65">
        <f t="shared" si="0"/>
        <v>14535638</v>
      </c>
      <c r="N16" s="60" t="s">
        <v>145</v>
      </c>
    </row>
    <row r="17" spans="1:12" ht="15.95" customHeight="1">
      <c r="A17" s="61" t="s">
        <v>1631</v>
      </c>
      <c r="B17" s="61" t="s">
        <v>1632</v>
      </c>
      <c r="C17" s="61" t="s">
        <v>1633</v>
      </c>
      <c r="D17" s="61" t="s">
        <v>24</v>
      </c>
      <c r="E17" s="61" t="s">
        <v>1620</v>
      </c>
      <c r="F17" s="62">
        <v>0</v>
      </c>
      <c r="G17" s="62">
        <v>57500000</v>
      </c>
      <c r="H17" s="62">
        <v>0</v>
      </c>
      <c r="I17" s="62">
        <v>57500000</v>
      </c>
      <c r="K17" s="60" t="s">
        <v>428</v>
      </c>
      <c r="L17" s="63">
        <f t="shared" si="0"/>
        <v>20182087945</v>
      </c>
    </row>
    <row r="18" spans="1:12" ht="18" customHeight="1">
      <c r="A18" s="61" t="s">
        <v>1631</v>
      </c>
      <c r="B18" s="61" t="s">
        <v>1632</v>
      </c>
      <c r="C18" s="61" t="s">
        <v>1619</v>
      </c>
      <c r="D18" s="61" t="s">
        <v>26</v>
      </c>
      <c r="E18" s="61" t="s">
        <v>1620</v>
      </c>
      <c r="F18" s="62">
        <v>95463378</v>
      </c>
      <c r="G18" s="62">
        <v>-716736</v>
      </c>
      <c r="H18" s="62">
        <v>11919853</v>
      </c>
      <c r="I18" s="62">
        <v>82826789</v>
      </c>
      <c r="K18"/>
    </row>
    <row r="19" spans="1:12" ht="18" customHeight="1">
      <c r="A19" s="61" t="s">
        <v>1631</v>
      </c>
      <c r="B19" s="61" t="s">
        <v>1632</v>
      </c>
      <c r="C19" s="61" t="s">
        <v>1634</v>
      </c>
      <c r="D19" s="61" t="s">
        <v>33</v>
      </c>
      <c r="E19" s="61" t="s">
        <v>1620</v>
      </c>
      <c r="F19" s="62">
        <v>0</v>
      </c>
      <c r="G19" s="62">
        <v>15494615</v>
      </c>
      <c r="H19" s="62">
        <v>958977</v>
      </c>
      <c r="I19" s="62">
        <v>14535638</v>
      </c>
      <c r="K19"/>
    </row>
    <row r="20" spans="1:12" ht="18" customHeight="1">
      <c r="A20" s="61" t="s">
        <v>1631</v>
      </c>
      <c r="B20" s="61" t="s">
        <v>1632</v>
      </c>
      <c r="C20" s="61" t="s">
        <v>1628</v>
      </c>
      <c r="D20" s="61" t="s">
        <v>616</v>
      </c>
      <c r="E20" s="61" t="s">
        <v>1620</v>
      </c>
      <c r="F20" s="62">
        <v>0</v>
      </c>
      <c r="G20" s="62">
        <v>0</v>
      </c>
      <c r="H20" s="62">
        <v>-23990175</v>
      </c>
      <c r="I20" s="62">
        <v>-23990175</v>
      </c>
      <c r="K20"/>
    </row>
    <row r="21" spans="1:12" ht="18" customHeight="1">
      <c r="A21" s="61" t="s">
        <v>1635</v>
      </c>
      <c r="B21" s="61" t="s">
        <v>516</v>
      </c>
      <c r="C21" s="61" t="s">
        <v>1629</v>
      </c>
      <c r="D21" s="61" t="s">
        <v>620</v>
      </c>
      <c r="E21" s="61" t="s">
        <v>1620</v>
      </c>
      <c r="F21" s="62">
        <v>0</v>
      </c>
      <c r="G21" s="62">
        <v>0</v>
      </c>
      <c r="H21" s="62">
        <v>160439443</v>
      </c>
      <c r="I21" s="62">
        <v>160439443</v>
      </c>
      <c r="K21"/>
    </row>
    <row r="22" spans="1:12" ht="18" customHeight="1">
      <c r="A22" s="61"/>
      <c r="B22" s="61"/>
      <c r="C22" s="61"/>
      <c r="D22" s="61" t="s">
        <v>428</v>
      </c>
      <c r="E22" s="61"/>
      <c r="F22" s="62">
        <v>15949104311</v>
      </c>
      <c r="G22" s="62">
        <v>8089245181</v>
      </c>
      <c r="H22" s="62">
        <v>4862366837</v>
      </c>
      <c r="I22" s="62">
        <v>20182087945</v>
      </c>
      <c r="K22"/>
    </row>
    <row r="23" spans="1:12" ht="15.95" customHeight="1">
      <c r="E23" s="60" t="s">
        <v>1636</v>
      </c>
    </row>
  </sheetData>
  <phoneticPr fontId="2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>
    <tabColor rgb="FFFFFF00"/>
  </sheetPr>
  <dimension ref="D3:AC75"/>
  <sheetViews>
    <sheetView showGridLines="0" zoomScale="80" zoomScaleNormal="80" workbookViewId="0">
      <pane xSplit="5" ySplit="4" topLeftCell="F41" activePane="bottomRight" state="frozen"/>
      <selection activeCell="J13" sqref="J13"/>
      <selection pane="topRight" activeCell="J13" sqref="J13"/>
      <selection pane="bottomLeft" activeCell="J13" sqref="J13"/>
      <selection pane="bottomRight" activeCell="M59" sqref="M59"/>
    </sheetView>
  </sheetViews>
  <sheetFormatPr defaultColWidth="8.75" defaultRowHeight="18" customHeight="1"/>
  <cols>
    <col min="1" max="3" width="2.375" style="7" customWidth="1"/>
    <col min="4" max="14" width="20.375" style="7" customWidth="1"/>
    <col min="15" max="15" width="8.375" style="7" bestFit="1" customWidth="1"/>
    <col min="16" max="17" width="8.375" style="7" customWidth="1"/>
    <col min="18" max="18" width="23.875" style="7" bestFit="1" customWidth="1"/>
    <col min="19" max="19" width="34.625" style="7" bestFit="1" customWidth="1"/>
    <col min="20" max="20" width="9.375" style="7" bestFit="1" customWidth="1"/>
    <col min="21" max="21" width="11.125" style="7" bestFit="1" customWidth="1"/>
    <col min="22" max="22" width="7.5" style="7" bestFit="1" customWidth="1"/>
    <col min="23" max="25" width="9.375" style="7" bestFit="1" customWidth="1"/>
    <col min="26" max="26" width="11.25" style="7" bestFit="1" customWidth="1"/>
    <col min="27" max="27" width="10.25" style="7" bestFit="1" customWidth="1"/>
    <col min="28" max="29" width="20.375" style="7" customWidth="1"/>
    <col min="30" max="16384" width="8.75" style="7"/>
  </cols>
  <sheetData>
    <row r="3" spans="4:23" ht="18" customHeight="1" thickBot="1"/>
    <row r="4" spans="4:23" s="444" customFormat="1" ht="18" customHeight="1">
      <c r="D4" s="440"/>
      <c r="E4" s="441" t="s">
        <v>415</v>
      </c>
      <c r="F4" s="442" t="s">
        <v>394</v>
      </c>
      <c r="G4" s="442" t="s">
        <v>395</v>
      </c>
      <c r="H4" s="442" t="s">
        <v>396</v>
      </c>
      <c r="I4" s="442" t="s">
        <v>397</v>
      </c>
      <c r="J4" s="442" t="s">
        <v>398</v>
      </c>
      <c r="K4" s="442" t="s">
        <v>2027</v>
      </c>
      <c r="L4" s="442" t="s">
        <v>2171</v>
      </c>
      <c r="M4" s="442" t="s">
        <v>2206</v>
      </c>
      <c r="N4" s="443" t="str">
        <f>+'2.0'!N5</f>
        <v>2020 4Q</v>
      </c>
      <c r="S4" s="7"/>
      <c r="T4" s="7"/>
      <c r="U4" s="7"/>
      <c r="V4" s="7"/>
      <c r="W4" s="7"/>
    </row>
    <row r="5" spans="4:23" s="449" customFormat="1" ht="18" customHeight="1">
      <c r="D5" s="445" t="s">
        <v>414</v>
      </c>
      <c r="E5" s="446"/>
      <c r="F5" s="447"/>
      <c r="G5" s="447"/>
      <c r="H5" s="447"/>
      <c r="I5" s="447"/>
      <c r="J5" s="447"/>
      <c r="K5" s="447"/>
      <c r="L5" s="447"/>
      <c r="M5" s="447"/>
      <c r="N5" s="448"/>
      <c r="S5" s="7"/>
      <c r="T5" s="7"/>
      <c r="U5" s="7"/>
      <c r="V5" s="7"/>
      <c r="W5" s="7"/>
    </row>
    <row r="6" spans="4:23" s="412" customFormat="1" ht="18" customHeight="1">
      <c r="D6" s="450"/>
      <c r="E6" s="451" t="s">
        <v>416</v>
      </c>
      <c r="F6" s="452"/>
      <c r="G6" s="452"/>
      <c r="H6" s="452"/>
      <c r="I6" s="452"/>
      <c r="J6" s="452"/>
      <c r="K6" s="452"/>
      <c r="L6" s="452"/>
      <c r="M6" s="452"/>
      <c r="N6" s="453"/>
      <c r="S6" s="7"/>
      <c r="T6" s="7"/>
      <c r="U6" s="7"/>
      <c r="V6" s="7"/>
      <c r="W6" s="7"/>
    </row>
    <row r="7" spans="4:23" ht="18" customHeight="1">
      <c r="D7" s="357"/>
      <c r="E7" s="7" t="s">
        <v>412</v>
      </c>
      <c r="F7" s="346">
        <v>0.47856800541709282</v>
      </c>
      <c r="G7" s="346">
        <v>0.40839243808672687</v>
      </c>
      <c r="H7" s="346">
        <f>H11/H9</f>
        <v>0.40336011563338686</v>
      </c>
      <c r="I7" s="346">
        <v>0.39829237655209598</v>
      </c>
      <c r="J7" s="346">
        <f>H7</f>
        <v>0.40336011563338686</v>
      </c>
      <c r="K7" s="346"/>
      <c r="L7" s="346"/>
      <c r="M7" s="346"/>
      <c r="N7" s="454"/>
    </row>
    <row r="8" spans="4:23" s="187" customFormat="1" ht="18" customHeight="1">
      <c r="D8" s="455"/>
      <c r="E8" s="456" t="s">
        <v>413</v>
      </c>
      <c r="F8" s="456"/>
      <c r="G8" s="456"/>
      <c r="H8" s="456"/>
      <c r="I8" s="456"/>
      <c r="J8" s="456"/>
      <c r="K8" s="456"/>
      <c r="L8" s="456"/>
      <c r="M8" s="456"/>
      <c r="N8" s="457"/>
      <c r="S8" s="7"/>
      <c r="T8" s="7"/>
      <c r="U8" s="7"/>
      <c r="V8" s="7"/>
      <c r="W8" s="7"/>
    </row>
    <row r="9" spans="4:23" ht="18" customHeight="1">
      <c r="D9" s="357"/>
      <c r="E9" s="7" t="s">
        <v>412</v>
      </c>
      <c r="F9" s="7">
        <v>1155016576</v>
      </c>
      <c r="G9" s="7">
        <v>856422094</v>
      </c>
      <c r="H9" s="7">
        <v>622300548</v>
      </c>
      <c r="I9" s="7">
        <v>813003348</v>
      </c>
      <c r="J9" s="7">
        <f>H9</f>
        <v>622300548</v>
      </c>
      <c r="K9" s="7">
        <v>0</v>
      </c>
      <c r="N9" s="15">
        <v>0</v>
      </c>
    </row>
    <row r="10" spans="4:23" s="187" customFormat="1" ht="18" customHeight="1">
      <c r="D10" s="455"/>
      <c r="E10" s="456" t="s">
        <v>417</v>
      </c>
      <c r="F10" s="456"/>
      <c r="G10" s="456"/>
      <c r="H10" s="456"/>
      <c r="I10" s="456"/>
      <c r="J10" s="456"/>
      <c r="K10" s="456"/>
      <c r="L10" s="456"/>
      <c r="M10" s="456"/>
      <c r="N10" s="457"/>
      <c r="V10" s="7"/>
      <c r="W10" s="7"/>
    </row>
    <row r="11" spans="4:23" ht="18" customHeight="1">
      <c r="D11" s="357"/>
      <c r="E11" s="7" t="s">
        <v>412</v>
      </c>
      <c r="F11" s="7">
        <f>ROUND(F7*F9,0)</f>
        <v>552753979</v>
      </c>
      <c r="G11" s="7">
        <f>ROUND(G7*G9,0)</f>
        <v>349756307</v>
      </c>
      <c r="H11" s="7">
        <v>251011221</v>
      </c>
      <c r="N11" s="15"/>
      <c r="R11" s="187"/>
      <c r="S11" s="187"/>
      <c r="T11" s="187"/>
      <c r="U11" s="187"/>
    </row>
    <row r="12" spans="4:23" s="187" customFormat="1" ht="18" customHeight="1">
      <c r="D12" s="455"/>
      <c r="E12" s="456"/>
      <c r="F12" s="456" t="b">
        <f>SUM(F13:F18)=0</f>
        <v>1</v>
      </c>
      <c r="G12" s="456"/>
      <c r="H12" s="456"/>
      <c r="I12" s="456"/>
      <c r="J12" s="456"/>
      <c r="K12" s="456"/>
      <c r="L12" s="456"/>
      <c r="M12" s="456"/>
      <c r="N12" s="457"/>
      <c r="V12" s="7"/>
      <c r="W12" s="7"/>
    </row>
    <row r="13" spans="4:23" ht="18" customHeight="1">
      <c r="D13" s="458" t="s">
        <v>1914</v>
      </c>
      <c r="E13" s="7" t="s">
        <v>45</v>
      </c>
      <c r="F13" s="7">
        <f t="shared" ref="F13:N13" si="0">-F11</f>
        <v>-552753979</v>
      </c>
      <c r="G13" s="7">
        <f t="shared" si="0"/>
        <v>-349756307</v>
      </c>
      <c r="H13" s="7">
        <f t="shared" si="0"/>
        <v>-251011221</v>
      </c>
      <c r="I13" s="7">
        <f t="shared" si="0"/>
        <v>0</v>
      </c>
      <c r="J13" s="7">
        <f t="shared" si="0"/>
        <v>0</v>
      </c>
      <c r="K13" s="7">
        <v>0</v>
      </c>
      <c r="N13" s="15">
        <f t="shared" si="0"/>
        <v>0</v>
      </c>
      <c r="R13" s="187"/>
      <c r="S13" s="187"/>
      <c r="T13" s="187"/>
      <c r="U13" s="187"/>
    </row>
    <row r="14" spans="4:23" ht="18" customHeight="1">
      <c r="D14" s="407" t="s">
        <v>241</v>
      </c>
      <c r="E14" s="7" t="s">
        <v>242</v>
      </c>
      <c r="F14" s="7">
        <f t="shared" ref="F14:N14" si="1">-F13</f>
        <v>552753979</v>
      </c>
      <c r="G14" s="7">
        <f t="shared" si="1"/>
        <v>349756307</v>
      </c>
      <c r="H14" s="7">
        <f t="shared" si="1"/>
        <v>251011221</v>
      </c>
      <c r="I14" s="7">
        <f t="shared" si="1"/>
        <v>0</v>
      </c>
      <c r="J14" s="7">
        <f t="shared" si="1"/>
        <v>0</v>
      </c>
      <c r="K14" s="7">
        <v>0</v>
      </c>
      <c r="N14" s="15">
        <f t="shared" si="1"/>
        <v>0</v>
      </c>
      <c r="R14" s="187"/>
      <c r="S14" s="187"/>
      <c r="T14" s="187"/>
      <c r="U14" s="187"/>
    </row>
    <row r="15" spans="4:23" ht="18" customHeight="1">
      <c r="D15" s="407" t="s">
        <v>1356</v>
      </c>
      <c r="E15" s="7" t="s">
        <v>402</v>
      </c>
      <c r="F15" s="7">
        <v>251606202</v>
      </c>
      <c r="G15" s="7">
        <f>-G16</f>
        <v>552753979</v>
      </c>
      <c r="H15" s="7">
        <f>-H16</f>
        <v>552753979</v>
      </c>
      <c r="I15" s="7">
        <f>-I16</f>
        <v>552753979</v>
      </c>
      <c r="J15" s="7">
        <f>-J16</f>
        <v>552753979</v>
      </c>
      <c r="K15" s="7">
        <v>0</v>
      </c>
      <c r="N15" s="15">
        <v>0</v>
      </c>
      <c r="R15" s="187"/>
      <c r="S15" s="187"/>
      <c r="T15" s="187"/>
      <c r="U15" s="187"/>
    </row>
    <row r="16" spans="4:23" ht="18" customHeight="1">
      <c r="D16" s="407" t="s">
        <v>241</v>
      </c>
      <c r="E16" s="7" t="s">
        <v>242</v>
      </c>
      <c r="F16" s="7">
        <f>-F15</f>
        <v>-251606202</v>
      </c>
      <c r="G16" s="7">
        <f>-F14</f>
        <v>-552753979</v>
      </c>
      <c r="H16" s="7">
        <f>-F14</f>
        <v>-552753979</v>
      </c>
      <c r="I16" s="7">
        <f>-F14</f>
        <v>-552753979</v>
      </c>
      <c r="J16" s="7">
        <f>-F14</f>
        <v>-552753979</v>
      </c>
      <c r="K16" s="7">
        <v>0</v>
      </c>
      <c r="N16" s="15">
        <v>0</v>
      </c>
      <c r="R16" s="187"/>
      <c r="S16" s="187"/>
      <c r="T16" s="187"/>
      <c r="U16" s="187"/>
    </row>
    <row r="17" spans="4:23" ht="18" customHeight="1">
      <c r="D17" s="407" t="s">
        <v>1357</v>
      </c>
      <c r="E17" s="7" t="s">
        <v>209</v>
      </c>
      <c r="F17" s="7">
        <f t="shared" ref="F17:N17" si="2">SUM(F16,F14)</f>
        <v>301147777</v>
      </c>
      <c r="G17" s="7">
        <f t="shared" si="2"/>
        <v>-202997672</v>
      </c>
      <c r="H17" s="7">
        <f t="shared" si="2"/>
        <v>-301742758</v>
      </c>
      <c r="I17" s="7">
        <f t="shared" si="2"/>
        <v>-552753979</v>
      </c>
      <c r="J17" s="7">
        <f t="shared" si="2"/>
        <v>-552753979</v>
      </c>
      <c r="K17" s="7">
        <v>0</v>
      </c>
      <c r="N17" s="15">
        <f t="shared" si="2"/>
        <v>0</v>
      </c>
      <c r="R17" s="187"/>
      <c r="S17" s="187"/>
      <c r="T17" s="187"/>
      <c r="U17" s="187"/>
    </row>
    <row r="18" spans="4:23" ht="18" customHeight="1">
      <c r="D18" s="407"/>
      <c r="E18" s="7" t="s">
        <v>422</v>
      </c>
      <c r="F18" s="7">
        <f t="shared" ref="F18:N18" si="3">-F17</f>
        <v>-301147777</v>
      </c>
      <c r="G18" s="7">
        <f t="shared" si="3"/>
        <v>202997672</v>
      </c>
      <c r="H18" s="7">
        <f t="shared" si="3"/>
        <v>301742758</v>
      </c>
      <c r="I18" s="7">
        <f t="shared" si="3"/>
        <v>552753979</v>
      </c>
      <c r="J18" s="7">
        <f t="shared" si="3"/>
        <v>552753979</v>
      </c>
      <c r="K18" s="7">
        <v>0</v>
      </c>
      <c r="N18" s="15">
        <f t="shared" si="3"/>
        <v>0</v>
      </c>
      <c r="R18" s="187"/>
      <c r="S18" s="187"/>
      <c r="T18" s="187"/>
      <c r="U18" s="187"/>
    </row>
    <row r="19" spans="4:23" s="449" customFormat="1" ht="18" customHeight="1">
      <c r="D19" s="445" t="s">
        <v>418</v>
      </c>
      <c r="E19" s="446"/>
      <c r="F19" s="447"/>
      <c r="G19" s="447"/>
      <c r="H19" s="447"/>
      <c r="I19" s="447"/>
      <c r="J19" s="447"/>
      <c r="K19" s="447"/>
      <c r="L19" s="447"/>
      <c r="M19" s="447"/>
      <c r="N19" s="448"/>
      <c r="R19" s="187"/>
      <c r="S19" s="187"/>
      <c r="T19" s="187"/>
      <c r="U19" s="187"/>
      <c r="V19" s="7"/>
      <c r="W19" s="7"/>
    </row>
    <row r="20" spans="4:23" s="412" customFormat="1" ht="18" customHeight="1">
      <c r="D20" s="450"/>
      <c r="E20" s="451" t="s">
        <v>416</v>
      </c>
      <c r="F20" s="452"/>
      <c r="G20" s="452"/>
      <c r="H20" s="452"/>
      <c r="I20" s="452"/>
      <c r="J20" s="452"/>
      <c r="K20" s="452"/>
      <c r="L20" s="452"/>
      <c r="M20" s="452"/>
      <c r="N20" s="453"/>
      <c r="R20" s="187"/>
      <c r="S20" s="187"/>
      <c r="T20" s="187"/>
      <c r="U20" s="187"/>
      <c r="V20" s="7"/>
      <c r="W20" s="7"/>
    </row>
    <row r="21" spans="4:23" ht="18" customHeight="1">
      <c r="D21" s="357"/>
      <c r="E21" s="7" t="s">
        <v>420</v>
      </c>
      <c r="F21" s="346">
        <v>0.42930000000000001</v>
      </c>
      <c r="G21" s="346"/>
      <c r="H21" s="346"/>
      <c r="N21" s="15"/>
      <c r="R21" s="187"/>
      <c r="S21" s="187"/>
      <c r="T21" s="187"/>
      <c r="U21" s="187"/>
    </row>
    <row r="22" spans="4:23" ht="18" customHeight="1">
      <c r="D22" s="357"/>
      <c r="E22" s="7" t="s">
        <v>419</v>
      </c>
      <c r="F22" s="346">
        <v>0.19480178114206378</v>
      </c>
      <c r="G22" s="346">
        <v>0.1948017679530924</v>
      </c>
      <c r="H22" s="346">
        <v>0.1948017679530924</v>
      </c>
      <c r="I22" s="346">
        <v>0.1948017679530924</v>
      </c>
      <c r="J22" s="346"/>
      <c r="K22" s="346"/>
      <c r="L22" s="346"/>
      <c r="M22" s="346"/>
      <c r="N22" s="15"/>
    </row>
    <row r="23" spans="4:23" ht="18" customHeight="1">
      <c r="D23" s="357"/>
      <c r="E23" s="7" t="s">
        <v>421</v>
      </c>
      <c r="F23" s="346">
        <v>0.1925390640009832</v>
      </c>
      <c r="G23" s="346">
        <v>0</v>
      </c>
      <c r="H23" s="346">
        <v>0</v>
      </c>
      <c r="I23" s="346">
        <v>0</v>
      </c>
      <c r="J23" s="346"/>
      <c r="K23" s="346"/>
      <c r="L23" s="346"/>
      <c r="M23" s="346"/>
      <c r="N23" s="15"/>
    </row>
    <row r="24" spans="4:23" s="187" customFormat="1" ht="18" customHeight="1">
      <c r="D24" s="455"/>
      <c r="E24" s="456" t="s">
        <v>413</v>
      </c>
      <c r="F24" s="456"/>
      <c r="G24" s="456"/>
      <c r="H24" s="456"/>
      <c r="I24" s="456"/>
      <c r="J24" s="456"/>
      <c r="K24" s="456"/>
      <c r="L24" s="456"/>
      <c r="M24" s="456"/>
      <c r="N24" s="457"/>
      <c r="S24" s="7"/>
      <c r="T24" s="7"/>
      <c r="U24" s="7"/>
      <c r="V24" s="7"/>
      <c r="W24" s="7"/>
    </row>
    <row r="25" spans="4:23" ht="18" customHeight="1">
      <c r="D25" s="357"/>
      <c r="E25" s="7" t="s">
        <v>420</v>
      </c>
      <c r="N25" s="15"/>
    </row>
    <row r="26" spans="4:23" ht="18" customHeight="1">
      <c r="D26" s="357"/>
      <c r="E26" s="7" t="s">
        <v>419</v>
      </c>
      <c r="F26" s="7">
        <v>37853398</v>
      </c>
      <c r="G26" s="7">
        <v>34919026</v>
      </c>
      <c r="H26" s="7">
        <v>0</v>
      </c>
      <c r="N26" s="15"/>
    </row>
    <row r="27" spans="4:23" ht="18" customHeight="1">
      <c r="D27" s="357"/>
      <c r="E27" s="7" t="s">
        <v>421</v>
      </c>
      <c r="N27" s="15"/>
    </row>
    <row r="28" spans="4:23" s="187" customFormat="1" ht="18" customHeight="1">
      <c r="D28" s="455"/>
      <c r="E28" s="456" t="s">
        <v>417</v>
      </c>
      <c r="F28" s="456"/>
      <c r="G28" s="456"/>
      <c r="H28" s="456"/>
      <c r="I28" s="456"/>
      <c r="J28" s="456"/>
      <c r="K28" s="456"/>
      <c r="L28" s="456"/>
      <c r="M28" s="456"/>
      <c r="N28" s="457"/>
      <c r="S28" s="7"/>
      <c r="T28" s="7"/>
      <c r="U28" s="7"/>
      <c r="V28" s="7"/>
      <c r="W28" s="7"/>
    </row>
    <row r="29" spans="4:23" ht="18" customHeight="1">
      <c r="D29" s="357"/>
      <c r="E29" s="7" t="s">
        <v>420</v>
      </c>
      <c r="F29" s="7">
        <f t="shared" ref="F29:G31" si="4">ROUND(F21*F25,0)</f>
        <v>0</v>
      </c>
      <c r="G29" s="7">
        <f t="shared" si="4"/>
        <v>0</v>
      </c>
      <c r="H29" s="7">
        <f>ROUND(H21*H25,0)</f>
        <v>0</v>
      </c>
      <c r="N29" s="15"/>
    </row>
    <row r="30" spans="4:23" ht="18" customHeight="1">
      <c r="D30" s="357"/>
      <c r="E30" s="7" t="s">
        <v>419</v>
      </c>
      <c r="F30" s="7">
        <f t="shared" si="4"/>
        <v>7373909</v>
      </c>
      <c r="G30" s="7">
        <f t="shared" si="4"/>
        <v>6802288</v>
      </c>
      <c r="H30" s="7">
        <f>ROUND(H22*H26,0)</f>
        <v>0</v>
      </c>
      <c r="N30" s="15"/>
    </row>
    <row r="31" spans="4:23" ht="18" customHeight="1">
      <c r="D31" s="357"/>
      <c r="E31" s="7" t="s">
        <v>421</v>
      </c>
      <c r="F31" s="7">
        <f t="shared" si="4"/>
        <v>0</v>
      </c>
      <c r="G31" s="7">
        <f t="shared" si="4"/>
        <v>0</v>
      </c>
      <c r="H31" s="7">
        <f>ROUND(H23*H27,0)</f>
        <v>0</v>
      </c>
      <c r="N31" s="15"/>
    </row>
    <row r="32" spans="4:23" s="187" customFormat="1" ht="18" customHeight="1">
      <c r="D32" s="455"/>
      <c r="E32" s="456"/>
      <c r="F32" s="456" t="b">
        <f>SUM(F33:F38)=0</f>
        <v>1</v>
      </c>
      <c r="G32" s="456"/>
      <c r="H32" s="456"/>
      <c r="I32" s="456"/>
      <c r="J32" s="456"/>
      <c r="K32" s="456"/>
      <c r="L32" s="456"/>
      <c r="M32" s="456"/>
      <c r="N32" s="457"/>
      <c r="S32" s="7"/>
      <c r="T32" s="7"/>
      <c r="U32" s="7"/>
      <c r="V32" s="7"/>
      <c r="W32" s="7"/>
    </row>
    <row r="33" spans="4:29" ht="18" customHeight="1">
      <c r="D33" s="458" t="s">
        <v>1914</v>
      </c>
      <c r="E33" s="7" t="s">
        <v>45</v>
      </c>
      <c r="F33" s="7">
        <f>-F30</f>
        <v>-7373909</v>
      </c>
      <c r="G33" s="7">
        <f>-G30</f>
        <v>-6802288</v>
      </c>
      <c r="H33" s="7">
        <f>-H30</f>
        <v>0</v>
      </c>
      <c r="N33" s="15"/>
      <c r="R33" s="187"/>
      <c r="X33" s="187"/>
      <c r="Y33" s="187"/>
      <c r="Z33" s="187"/>
      <c r="AA33" s="187"/>
      <c r="AB33" s="187"/>
    </row>
    <row r="34" spans="4:29" ht="18" customHeight="1">
      <c r="D34" s="407" t="s">
        <v>241</v>
      </c>
      <c r="E34" s="7" t="s">
        <v>242</v>
      </c>
      <c r="F34" s="7">
        <f>-F33</f>
        <v>7373909</v>
      </c>
      <c r="G34" s="7">
        <f>-G33</f>
        <v>6802288</v>
      </c>
      <c r="H34" s="7">
        <f>-H33</f>
        <v>0</v>
      </c>
      <c r="N34" s="15"/>
      <c r="R34" s="187"/>
      <c r="X34" s="187"/>
      <c r="Y34" s="187"/>
      <c r="Z34" s="187"/>
      <c r="AA34" s="187"/>
      <c r="AB34" s="187"/>
    </row>
    <row r="35" spans="4:29" ht="18" customHeight="1">
      <c r="D35" s="407" t="s">
        <v>1356</v>
      </c>
      <c r="E35" s="7" t="s">
        <v>402</v>
      </c>
      <c r="F35" s="7">
        <v>25808411</v>
      </c>
      <c r="G35" s="7">
        <f>-G36</f>
        <v>7373909</v>
      </c>
      <c r="H35" s="7">
        <f>-H36</f>
        <v>7373909</v>
      </c>
      <c r="I35" s="7">
        <f>-I36</f>
        <v>7373909</v>
      </c>
      <c r="J35" s="7">
        <f>-J36</f>
        <v>7373909</v>
      </c>
      <c r="N35" s="15"/>
      <c r="R35" s="187"/>
      <c r="X35" s="187"/>
      <c r="Y35" s="187"/>
      <c r="Z35" s="187"/>
      <c r="AA35" s="187"/>
      <c r="AB35" s="187"/>
    </row>
    <row r="36" spans="4:29" ht="18" customHeight="1">
      <c r="D36" s="407" t="s">
        <v>241</v>
      </c>
      <c r="E36" s="7" t="s">
        <v>242</v>
      </c>
      <c r="F36" s="7">
        <f>-F35</f>
        <v>-25808411</v>
      </c>
      <c r="G36" s="7">
        <f>-F34</f>
        <v>-7373909</v>
      </c>
      <c r="H36" s="7">
        <f>-F34</f>
        <v>-7373909</v>
      </c>
      <c r="I36" s="7">
        <f>-F34</f>
        <v>-7373909</v>
      </c>
      <c r="J36" s="7">
        <f>-F34</f>
        <v>-7373909</v>
      </c>
      <c r="N36" s="15"/>
      <c r="R36" s="187"/>
      <c r="X36" s="187"/>
      <c r="Y36" s="187"/>
      <c r="Z36" s="187"/>
      <c r="AA36" s="187"/>
      <c r="AB36" s="187"/>
    </row>
    <row r="37" spans="4:29" ht="18" customHeight="1">
      <c r="D37" s="407" t="s">
        <v>1357</v>
      </c>
      <c r="E37" s="7" t="s">
        <v>209</v>
      </c>
      <c r="F37" s="7">
        <f>SUM(F36,F34)</f>
        <v>-18434502</v>
      </c>
      <c r="G37" s="7">
        <f>SUM(G36,G34)</f>
        <v>-571621</v>
      </c>
      <c r="H37" s="7">
        <f>SUM(H36,H34)</f>
        <v>-7373909</v>
      </c>
      <c r="I37" s="7">
        <f>SUM(I36,I34)</f>
        <v>-7373909</v>
      </c>
      <c r="J37" s="7">
        <f>SUM(J36,J34)</f>
        <v>-7373909</v>
      </c>
      <c r="N37" s="15"/>
      <c r="R37" s="187"/>
      <c r="X37" s="187"/>
      <c r="Y37" s="187"/>
      <c r="Z37" s="187"/>
      <c r="AA37" s="187"/>
      <c r="AB37" s="187"/>
    </row>
    <row r="38" spans="4:29" ht="18" customHeight="1">
      <c r="D38" s="407"/>
      <c r="E38" s="7" t="s">
        <v>422</v>
      </c>
      <c r="F38" s="7">
        <f>-F37</f>
        <v>18434502</v>
      </c>
      <c r="G38" s="7">
        <f>-G37</f>
        <v>571621</v>
      </c>
      <c r="H38" s="7">
        <f>-H37</f>
        <v>7373909</v>
      </c>
      <c r="I38" s="7">
        <f>-I37</f>
        <v>7373909</v>
      </c>
      <c r="J38" s="7">
        <f>-J37</f>
        <v>7373909</v>
      </c>
      <c r="N38" s="15"/>
      <c r="R38" s="187"/>
      <c r="X38" s="187"/>
      <c r="Y38" s="187"/>
      <c r="Z38" s="187"/>
      <c r="AA38" s="187"/>
      <c r="AB38" s="187"/>
    </row>
    <row r="39" spans="4:29" ht="18" customHeight="1">
      <c r="D39" s="445" t="s">
        <v>1587</v>
      </c>
      <c r="E39" s="459"/>
      <c r="F39" s="459"/>
      <c r="G39" s="459"/>
      <c r="H39" s="459"/>
      <c r="I39" s="459"/>
      <c r="J39" s="459"/>
      <c r="K39" s="459"/>
      <c r="L39" s="459"/>
      <c r="M39" s="459"/>
      <c r="N39" s="460"/>
      <c r="R39" s="7" t="s">
        <v>2032</v>
      </c>
      <c r="S39" s="856">
        <v>10.5426</v>
      </c>
    </row>
    <row r="40" spans="4:29" s="412" customFormat="1" ht="18" customHeight="1">
      <c r="D40" s="450"/>
      <c r="E40" s="451" t="s">
        <v>416</v>
      </c>
      <c r="F40" s="452"/>
      <c r="G40" s="452"/>
      <c r="H40" s="452"/>
      <c r="I40" s="452"/>
      <c r="J40" s="452"/>
      <c r="K40" s="452"/>
      <c r="L40" s="452"/>
      <c r="M40" s="452"/>
      <c r="N40" s="453"/>
      <c r="R40" s="7" t="s">
        <v>2031</v>
      </c>
      <c r="S40" s="856">
        <v>11.050700000000001</v>
      </c>
      <c r="T40" s="7"/>
      <c r="U40" s="7"/>
      <c r="V40" s="7"/>
      <c r="W40" s="7"/>
      <c r="X40" s="7"/>
      <c r="Y40" s="7"/>
      <c r="Z40" s="7"/>
      <c r="AA40" s="7"/>
      <c r="AB40" s="7"/>
    </row>
    <row r="41" spans="4:29" ht="18" customHeight="1">
      <c r="D41" s="357"/>
      <c r="E41" s="7" t="s">
        <v>2208</v>
      </c>
      <c r="F41" s="346">
        <v>0</v>
      </c>
      <c r="G41" s="346">
        <v>0.12005333333333333</v>
      </c>
      <c r="H41" s="346">
        <v>0.12005333333333333</v>
      </c>
      <c r="I41" s="346">
        <v>0.12005333333333333</v>
      </c>
      <c r="J41" s="346">
        <v>0.12005333333333333</v>
      </c>
      <c r="K41" s="346">
        <v>0.12005333333333333</v>
      </c>
      <c r="L41" s="346">
        <v>0.37620775098519366</v>
      </c>
      <c r="M41" s="346">
        <v>0.41895262948515843</v>
      </c>
      <c r="N41" s="454"/>
      <c r="O41" s="412"/>
      <c r="P41" s="412"/>
      <c r="Q41" s="412"/>
    </row>
    <row r="42" spans="4:29" s="187" customFormat="1" ht="18" customHeight="1">
      <c r="E42" s="5" t="s">
        <v>2209</v>
      </c>
      <c r="M42" s="346">
        <v>0.41495331566253552</v>
      </c>
      <c r="N42" s="454"/>
      <c r="O42" s="8" t="s">
        <v>1985</v>
      </c>
      <c r="P42" s="8" t="s">
        <v>2207</v>
      </c>
      <c r="Q42" s="8"/>
      <c r="R42" s="837" t="s">
        <v>2034</v>
      </c>
      <c r="S42" s="837" t="s">
        <v>2037</v>
      </c>
      <c r="T42" s="837" t="s">
        <v>2033</v>
      </c>
      <c r="U42" s="837" t="s">
        <v>2038</v>
      </c>
      <c r="V42" s="837" t="s">
        <v>2035</v>
      </c>
      <c r="W42" s="837" t="s">
        <v>2036</v>
      </c>
      <c r="X42" s="837" t="s">
        <v>2039</v>
      </c>
      <c r="Y42" s="837" t="s">
        <v>2030</v>
      </c>
      <c r="Z42" s="837" t="s">
        <v>2040</v>
      </c>
      <c r="AA42" s="837" t="s">
        <v>2041</v>
      </c>
      <c r="AB42" s="837" t="s">
        <v>2215</v>
      </c>
      <c r="AC42" s="837" t="s">
        <v>2216</v>
      </c>
    </row>
    <row r="43" spans="4:29" ht="18" customHeight="1">
      <c r="D43" s="455"/>
      <c r="E43" s="456" t="s">
        <v>413</v>
      </c>
      <c r="F43" s="456"/>
      <c r="G43" s="456"/>
      <c r="H43" s="456"/>
      <c r="I43" s="456"/>
      <c r="J43" s="456"/>
      <c r="K43" s="456"/>
      <c r="L43" s="456"/>
      <c r="M43" s="456"/>
      <c r="N43" s="457"/>
      <c r="O43" s="8" t="s">
        <v>2208</v>
      </c>
      <c r="P43" s="8" t="s">
        <v>2209</v>
      </c>
      <c r="Q43" s="8"/>
      <c r="R43" s="863" t="s">
        <v>2232</v>
      </c>
      <c r="S43" s="863" t="s">
        <v>2233</v>
      </c>
      <c r="T43" s="836">
        <v>1504</v>
      </c>
      <c r="U43" s="836">
        <v>3323154</v>
      </c>
      <c r="V43" s="836">
        <f t="shared" ref="V43:V49" si="5">+U43/T43</f>
        <v>2209.5438829787236</v>
      </c>
      <c r="W43" s="836">
        <f>ROUND(V43*$S$40,)</f>
        <v>24417</v>
      </c>
      <c r="X43" s="836">
        <v>14407</v>
      </c>
      <c r="Y43" s="717">
        <f>+(W43-X43)/W43</f>
        <v>0.40996027357988285</v>
      </c>
      <c r="Z43" s="716">
        <f>ROUND(U43*$S$39,)</f>
        <v>35034683</v>
      </c>
      <c r="AA43" s="716">
        <f>ROUND(Z43*Y43,)</f>
        <v>14362828</v>
      </c>
      <c r="AB43" s="716">
        <v>36564203</v>
      </c>
      <c r="AC43" s="716">
        <f>ROUND(AB43*$S$40,0)</f>
        <v>404060038</v>
      </c>
    </row>
    <row r="44" spans="4:29" s="187" customFormat="1" ht="18" customHeight="1">
      <c r="D44" s="357"/>
      <c r="E44" s="7" t="s">
        <v>2208</v>
      </c>
      <c r="F44" s="7">
        <v>0</v>
      </c>
      <c r="G44" s="7">
        <v>34213288</v>
      </c>
      <c r="H44" s="7">
        <v>30892054</v>
      </c>
      <c r="I44" s="7">
        <v>0</v>
      </c>
      <c r="J44" s="7">
        <v>30475870</v>
      </c>
      <c r="K44" s="7">
        <v>0</v>
      </c>
      <c r="L44" s="7">
        <v>83381323</v>
      </c>
      <c r="M44" s="7">
        <v>45943748</v>
      </c>
      <c r="N44" s="15">
        <f>SUMIF($O$43:$O$59,E44,$Z$43:$Z$59)</f>
        <v>35034683</v>
      </c>
      <c r="O44" s="8" t="s">
        <v>2209</v>
      </c>
      <c r="P44" s="8" t="s">
        <v>2209</v>
      </c>
      <c r="Q44" s="8"/>
      <c r="R44" s="863" t="s">
        <v>2234</v>
      </c>
      <c r="S44" s="863" t="s">
        <v>2235</v>
      </c>
      <c r="T44" s="836">
        <v>4614</v>
      </c>
      <c r="U44" s="836">
        <v>3460500</v>
      </c>
      <c r="V44" s="836">
        <f t="shared" si="5"/>
        <v>750</v>
      </c>
      <c r="W44" s="836">
        <f t="shared" ref="W44:W49" si="6">ROUND(V44*$S$40,)</f>
        <v>8288</v>
      </c>
      <c r="X44" s="836">
        <v>4916</v>
      </c>
      <c r="Y44" s="717">
        <f t="shared" ref="Y44:Y49" si="7">+(W44-X44)/W44</f>
        <v>0.40685328185328185</v>
      </c>
      <c r="Z44" s="716">
        <f t="shared" ref="Z44:Z49" si="8">ROUND(U44*$S$39,)</f>
        <v>36482667</v>
      </c>
      <c r="AA44" s="716">
        <f t="shared" ref="AA44:AA49" si="9">ROUND(Z44*Y44,)</f>
        <v>14843093</v>
      </c>
      <c r="AB44" s="716">
        <v>8850563</v>
      </c>
      <c r="AC44" s="716">
        <f t="shared" ref="AC44:AC49" si="10">ROUND(AB44*$S$40,0)</f>
        <v>97804917</v>
      </c>
    </row>
    <row r="45" spans="4:29" ht="18" customHeight="1">
      <c r="D45" s="357"/>
      <c r="E45" s="5" t="s">
        <v>2209</v>
      </c>
      <c r="M45" s="7">
        <v>40000910</v>
      </c>
      <c r="N45" s="15">
        <f>SUMIF($O$43:$O$59,E45,$Z$43:$Z$59)</f>
        <v>44428603</v>
      </c>
      <c r="O45" s="8" t="s">
        <v>2209</v>
      </c>
      <c r="P45" s="8" t="s">
        <v>2209</v>
      </c>
      <c r="Q45" s="8"/>
      <c r="R45" s="864" t="s">
        <v>2255</v>
      </c>
      <c r="S45" s="864" t="s">
        <v>2227</v>
      </c>
      <c r="T45" s="836">
        <v>51</v>
      </c>
      <c r="U45" s="836">
        <v>107033</v>
      </c>
      <c r="V45" s="836">
        <f t="shared" si="5"/>
        <v>2098.6862745098038</v>
      </c>
      <c r="W45" s="836">
        <f t="shared" si="6"/>
        <v>23192</v>
      </c>
      <c r="X45" s="836">
        <v>13858</v>
      </c>
      <c r="Y45" s="717">
        <f t="shared" si="7"/>
        <v>0.40246636771300448</v>
      </c>
      <c r="Z45" s="716">
        <f t="shared" si="8"/>
        <v>1128406</v>
      </c>
      <c r="AA45" s="716">
        <f t="shared" si="9"/>
        <v>454145</v>
      </c>
      <c r="AB45" s="716">
        <v>288350</v>
      </c>
      <c r="AC45" s="716">
        <f t="shared" si="10"/>
        <v>3186469</v>
      </c>
    </row>
    <row r="46" spans="4:29" s="187" customFormat="1" ht="18" customHeight="1">
      <c r="D46" s="455"/>
      <c r="E46" s="456" t="s">
        <v>417</v>
      </c>
      <c r="F46" s="456"/>
      <c r="G46" s="456"/>
      <c r="H46" s="456"/>
      <c r="I46" s="456"/>
      <c r="J46" s="456"/>
      <c r="K46" s="456"/>
      <c r="L46" s="456"/>
      <c r="M46" s="456"/>
      <c r="N46" s="457"/>
      <c r="O46" s="8" t="s">
        <v>2209</v>
      </c>
      <c r="P46" s="8" t="s">
        <v>2209</v>
      </c>
      <c r="Q46" s="8"/>
      <c r="R46" s="864" t="s">
        <v>2256</v>
      </c>
      <c r="S46" s="864" t="s">
        <v>2228</v>
      </c>
      <c r="T46" s="836">
        <v>22</v>
      </c>
      <c r="U46" s="836">
        <v>46760</v>
      </c>
      <c r="V46" s="836">
        <f t="shared" si="5"/>
        <v>2125.4545454545455</v>
      </c>
      <c r="W46" s="836">
        <f t="shared" si="6"/>
        <v>23488</v>
      </c>
      <c r="X46" s="836">
        <v>13432</v>
      </c>
      <c r="Y46" s="717">
        <f t="shared" si="7"/>
        <v>0.42813351498637603</v>
      </c>
      <c r="Z46" s="716">
        <f t="shared" si="8"/>
        <v>492972</v>
      </c>
      <c r="AA46" s="716">
        <f t="shared" si="9"/>
        <v>211058</v>
      </c>
      <c r="AB46" s="716">
        <v>128987</v>
      </c>
      <c r="AC46" s="716">
        <f t="shared" si="10"/>
        <v>1425397</v>
      </c>
    </row>
    <row r="47" spans="4:29" ht="18" customHeight="1">
      <c r="D47" s="357"/>
      <c r="E47" s="7" t="s">
        <v>2208</v>
      </c>
      <c r="F47" s="7">
        <f>ROUND(F44*F41,0)</f>
        <v>0</v>
      </c>
      <c r="G47" s="7">
        <f>ROUND(G44*G41,0)</f>
        <v>4107419</v>
      </c>
      <c r="H47" s="7">
        <f>ROUND(H44*H41,0)</f>
        <v>3708694</v>
      </c>
      <c r="I47" s="7">
        <f>ROUND(I44*I41,0)</f>
        <v>0</v>
      </c>
      <c r="J47" s="7">
        <f>ROUND(J44*J41,0)</f>
        <v>3658730</v>
      </c>
      <c r="K47" s="7">
        <v>0</v>
      </c>
      <c r="L47" s="7">
        <v>31368700</v>
      </c>
      <c r="M47" s="7">
        <v>19248254</v>
      </c>
      <c r="N47" s="15">
        <f>SUMIF($O$43:$O$59,E47,$AA$43:$AA$59)</f>
        <v>14362828</v>
      </c>
      <c r="O47" s="8" t="s">
        <v>2209</v>
      </c>
      <c r="P47" s="8" t="s">
        <v>2209</v>
      </c>
      <c r="Q47" s="8"/>
      <c r="R47" s="864" t="s">
        <v>2257</v>
      </c>
      <c r="S47" s="864" t="s">
        <v>2229</v>
      </c>
      <c r="T47" s="836">
        <v>29</v>
      </c>
      <c r="U47" s="836">
        <v>61030</v>
      </c>
      <c r="V47" s="836">
        <f t="shared" si="5"/>
        <v>2104.4827586206898</v>
      </c>
      <c r="W47" s="836">
        <f t="shared" si="6"/>
        <v>23256</v>
      </c>
      <c r="X47" s="836">
        <v>13560</v>
      </c>
      <c r="Y47" s="717">
        <f t="shared" si="7"/>
        <v>0.41692466460268318</v>
      </c>
      <c r="Z47" s="716">
        <f t="shared" si="8"/>
        <v>643415</v>
      </c>
      <c r="AA47" s="716">
        <f t="shared" si="9"/>
        <v>268256</v>
      </c>
      <c r="AB47" s="716">
        <v>94127</v>
      </c>
      <c r="AC47" s="716">
        <f t="shared" si="10"/>
        <v>1040169</v>
      </c>
    </row>
    <row r="48" spans="4:29" ht="18" customHeight="1">
      <c r="D48" s="357"/>
      <c r="E48" s="5" t="s">
        <v>2209</v>
      </c>
      <c r="M48" s="7">
        <v>16598510</v>
      </c>
      <c r="N48" s="15">
        <f>SUMIF($O$43:$O$59,E48,$AA$43:$AA$59)</f>
        <v>17841963</v>
      </c>
      <c r="O48" s="8" t="s">
        <v>2209</v>
      </c>
      <c r="P48" s="8" t="s">
        <v>2209</v>
      </c>
      <c r="Q48" s="8"/>
      <c r="R48" s="864" t="s">
        <v>2258</v>
      </c>
      <c r="S48" s="864" t="s">
        <v>2230</v>
      </c>
      <c r="T48" s="836">
        <v>120</v>
      </c>
      <c r="U48" s="836">
        <v>434807</v>
      </c>
      <c r="V48" s="836">
        <f t="shared" si="5"/>
        <v>3623.3916666666669</v>
      </c>
      <c r="W48" s="836">
        <f t="shared" si="6"/>
        <v>40041</v>
      </c>
      <c r="X48" s="836">
        <v>26690</v>
      </c>
      <c r="Y48" s="717">
        <f t="shared" si="7"/>
        <v>0.33343323093828825</v>
      </c>
      <c r="Z48" s="716">
        <f t="shared" si="8"/>
        <v>4583996</v>
      </c>
      <c r="AA48" s="716">
        <f t="shared" si="9"/>
        <v>1528457</v>
      </c>
      <c r="AB48" s="716">
        <v>950572</v>
      </c>
      <c r="AC48" s="716">
        <f t="shared" si="10"/>
        <v>10504486</v>
      </c>
    </row>
    <row r="49" spans="4:29" ht="18" customHeight="1">
      <c r="D49" s="455"/>
      <c r="E49" s="456"/>
      <c r="F49" s="456" t="b">
        <f>SUM(F51:F59)=0</f>
        <v>1</v>
      </c>
      <c r="G49" s="456"/>
      <c r="H49" s="456"/>
      <c r="I49" s="456"/>
      <c r="J49" s="456"/>
      <c r="K49" s="456"/>
      <c r="L49" s="456"/>
      <c r="M49" s="456"/>
      <c r="N49" s="457"/>
      <c r="O49" s="8" t="s">
        <v>2209</v>
      </c>
      <c r="P49" s="8" t="s">
        <v>2209</v>
      </c>
      <c r="Q49" s="8"/>
      <c r="R49" s="864" t="s">
        <v>2259</v>
      </c>
      <c r="S49" s="864" t="s">
        <v>2231</v>
      </c>
      <c r="T49" s="836">
        <v>58</v>
      </c>
      <c r="U49" s="836">
        <v>104068</v>
      </c>
      <c r="V49" s="836">
        <f t="shared" si="5"/>
        <v>1794.2758620689656</v>
      </c>
      <c r="W49" s="836">
        <f t="shared" si="6"/>
        <v>19828</v>
      </c>
      <c r="X49" s="836">
        <v>10124</v>
      </c>
      <c r="Y49" s="717">
        <f t="shared" si="7"/>
        <v>0.48940891668347791</v>
      </c>
      <c r="Z49" s="716">
        <f t="shared" si="8"/>
        <v>1097147</v>
      </c>
      <c r="AA49" s="716">
        <f t="shared" si="9"/>
        <v>536954</v>
      </c>
      <c r="AB49" s="716">
        <v>294104</v>
      </c>
      <c r="AC49" s="716">
        <f t="shared" si="10"/>
        <v>3250055</v>
      </c>
    </row>
    <row r="50" spans="4:29" ht="18" customHeight="1">
      <c r="D50" s="407" t="s">
        <v>241</v>
      </c>
      <c r="E50" s="7" t="s">
        <v>242</v>
      </c>
      <c r="F50" s="7">
        <f>-F51</f>
        <v>0</v>
      </c>
      <c r="G50" s="7">
        <f>-G51</f>
        <v>4107419</v>
      </c>
      <c r="H50" s="7">
        <f>-H51</f>
        <v>3708694</v>
      </c>
      <c r="I50" s="7">
        <f>-I51</f>
        <v>0</v>
      </c>
      <c r="J50" s="7">
        <f>-J51</f>
        <v>3658730</v>
      </c>
      <c r="K50" s="7">
        <v>0</v>
      </c>
      <c r="L50" s="7">
        <v>31368700</v>
      </c>
      <c r="M50" s="7">
        <v>19248254</v>
      </c>
      <c r="N50" s="15">
        <f>-N51</f>
        <v>14362828</v>
      </c>
      <c r="O50" s="7" t="s">
        <v>2212</v>
      </c>
      <c r="R50" s="412"/>
      <c r="T50" s="7">
        <f>SUM(T43:T49)</f>
        <v>6398</v>
      </c>
      <c r="U50" s="7">
        <f>SUM(U43:U49)</f>
        <v>7537352</v>
      </c>
      <c r="Z50" s="7">
        <f>SUM(Z43:Z49)</f>
        <v>79463286</v>
      </c>
      <c r="AA50" s="7">
        <f t="shared" ref="AA50:AC50" si="11">SUM(AA43:AA49)</f>
        <v>32204791</v>
      </c>
      <c r="AB50" s="7">
        <f t="shared" si="11"/>
        <v>47170906</v>
      </c>
      <c r="AC50" s="7">
        <f t="shared" si="11"/>
        <v>521271531</v>
      </c>
    </row>
    <row r="51" spans="4:29" ht="18" customHeight="1">
      <c r="D51" s="458" t="s">
        <v>1914</v>
      </c>
      <c r="E51" s="7" t="s">
        <v>45</v>
      </c>
      <c r="F51" s="7">
        <f>-F47</f>
        <v>0</v>
      </c>
      <c r="G51" s="7">
        <f>-G47</f>
        <v>-4107419</v>
      </c>
      <c r="H51" s="7">
        <f>-H47</f>
        <v>-3708694</v>
      </c>
      <c r="I51" s="7">
        <f>-I47</f>
        <v>0</v>
      </c>
      <c r="J51" s="7">
        <f>-J47</f>
        <v>-3658730</v>
      </c>
      <c r="K51" s="7">
        <v>0</v>
      </c>
      <c r="L51" s="7">
        <v>-31368700</v>
      </c>
      <c r="M51" s="7">
        <v>-19248254</v>
      </c>
      <c r="N51" s="15">
        <f>-N47</f>
        <v>-14362828</v>
      </c>
      <c r="S51" s="709"/>
      <c r="X51" s="187"/>
      <c r="Y51" s="187"/>
      <c r="Z51" s="187"/>
      <c r="AA51" s="187"/>
      <c r="AB51" s="187"/>
    </row>
    <row r="52" spans="4:29" ht="18" customHeight="1">
      <c r="D52" s="14" t="s">
        <v>239</v>
      </c>
      <c r="E52" s="5" t="s">
        <v>2211</v>
      </c>
      <c r="M52" s="7">
        <v>16598510</v>
      </c>
      <c r="N52" s="15">
        <f>N48</f>
        <v>17841963</v>
      </c>
      <c r="O52" s="7" t="s">
        <v>2213</v>
      </c>
      <c r="R52" s="412" t="s">
        <v>2247</v>
      </c>
    </row>
    <row r="53" spans="4:29" ht="18" customHeight="1">
      <c r="D53" s="458" t="s">
        <v>2210</v>
      </c>
      <c r="E53" s="5" t="s">
        <v>2209</v>
      </c>
      <c r="M53" s="7">
        <v>-16598510</v>
      </c>
      <c r="N53" s="15">
        <f>-N52</f>
        <v>-17841963</v>
      </c>
      <c r="R53" s="849" t="s">
        <v>2034</v>
      </c>
      <c r="S53" s="850" t="s">
        <v>2246</v>
      </c>
    </row>
    <row r="54" spans="4:29" ht="18" customHeight="1">
      <c r="D54" s="14" t="s">
        <v>239</v>
      </c>
      <c r="E54" s="5" t="s">
        <v>2211</v>
      </c>
      <c r="N54" s="840">
        <f>S56</f>
        <v>0</v>
      </c>
      <c r="O54" s="7" t="s">
        <v>2248</v>
      </c>
      <c r="P54" s="8"/>
      <c r="Q54" s="8"/>
      <c r="R54" s="851"/>
      <c r="S54" s="716"/>
    </row>
    <row r="55" spans="4:29" ht="18" customHeight="1">
      <c r="D55" s="14">
        <v>115170</v>
      </c>
      <c r="E55" s="6" t="s">
        <v>44</v>
      </c>
      <c r="N55" s="840">
        <f>-N54</f>
        <v>0</v>
      </c>
      <c r="P55" s="8"/>
      <c r="Q55" s="8"/>
      <c r="R55" s="851"/>
      <c r="S55" s="716"/>
    </row>
    <row r="56" spans="4:29" ht="18" customHeight="1">
      <c r="D56" s="407" t="s">
        <v>1356</v>
      </c>
      <c r="E56" s="7" t="s">
        <v>402</v>
      </c>
      <c r="F56" s="7">
        <v>0</v>
      </c>
      <c r="G56" s="7">
        <f>-G57</f>
        <v>0</v>
      </c>
      <c r="H56" s="7">
        <f>-H57</f>
        <v>0</v>
      </c>
      <c r="K56" s="7">
        <v>3658730</v>
      </c>
      <c r="L56" s="7">
        <v>3658730</v>
      </c>
      <c r="M56" s="7">
        <v>3658730</v>
      </c>
      <c r="N56" s="15">
        <f>-N57</f>
        <v>3658730</v>
      </c>
      <c r="O56" s="7" t="s">
        <v>2236</v>
      </c>
      <c r="R56" s="852"/>
      <c r="S56" s="716"/>
      <c r="X56" s="187"/>
      <c r="Y56" s="187"/>
      <c r="Z56" s="187"/>
      <c r="AA56" s="187"/>
      <c r="AB56" s="187"/>
    </row>
    <row r="57" spans="4:29" s="187" customFormat="1" ht="18" customHeight="1">
      <c r="D57" s="407" t="s">
        <v>241</v>
      </c>
      <c r="E57" s="7" t="s">
        <v>242</v>
      </c>
      <c r="F57" s="7">
        <v>0</v>
      </c>
      <c r="G57" s="7">
        <f>-F50</f>
        <v>0</v>
      </c>
      <c r="H57" s="7">
        <f>-F50</f>
        <v>0</v>
      </c>
      <c r="I57" s="7"/>
      <c r="J57" s="7"/>
      <c r="K57" s="7">
        <v>-3658730</v>
      </c>
      <c r="L57" s="7">
        <v>-3658730</v>
      </c>
      <c r="M57" s="7">
        <v>-3658730</v>
      </c>
      <c r="N57" s="15">
        <f>-J50</f>
        <v>-3658730</v>
      </c>
      <c r="R57" s="412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4:29" ht="18" customHeight="1">
      <c r="D58" s="407" t="s">
        <v>1357</v>
      </c>
      <c r="E58" s="7" t="s">
        <v>209</v>
      </c>
      <c r="F58" s="7">
        <v>0</v>
      </c>
      <c r="G58" s="7">
        <f>SUM(G57,G50)</f>
        <v>4107419</v>
      </c>
      <c r="H58" s="7">
        <f>SUM(H57,H50)</f>
        <v>3708694</v>
      </c>
      <c r="I58" s="7">
        <f>SUM(I57,I50)</f>
        <v>0</v>
      </c>
      <c r="J58" s="7">
        <f>SUM(J57,J50)</f>
        <v>3658730</v>
      </c>
      <c r="K58" s="7">
        <v>-3658730</v>
      </c>
      <c r="L58" s="7">
        <v>27709970</v>
      </c>
      <c r="M58" s="7">
        <v>32188034</v>
      </c>
      <c r="N58" s="15">
        <f>SUM(N57,N50,N52)</f>
        <v>28546061</v>
      </c>
    </row>
    <row r="59" spans="4:29" ht="18" customHeight="1">
      <c r="D59" s="407"/>
      <c r="E59" s="7" t="s">
        <v>422</v>
      </c>
      <c r="F59" s="7">
        <v>0</v>
      </c>
      <c r="G59" s="7">
        <f>-G58</f>
        <v>-4107419</v>
      </c>
      <c r="H59" s="7">
        <f>-H58</f>
        <v>-3708694</v>
      </c>
      <c r="I59" s="7">
        <f>-I58</f>
        <v>0</v>
      </c>
      <c r="J59" s="7">
        <f>-J58</f>
        <v>-3658730</v>
      </c>
      <c r="K59" s="7">
        <v>3658730</v>
      </c>
      <c r="L59" s="7">
        <v>-27709970</v>
      </c>
      <c r="M59" s="7">
        <v>-32188034</v>
      </c>
      <c r="N59" s="15">
        <f>-N58</f>
        <v>-28546061</v>
      </c>
    </row>
    <row r="60" spans="4:29" ht="18" customHeight="1">
      <c r="D60" s="445" t="s">
        <v>423</v>
      </c>
      <c r="E60" s="446"/>
      <c r="F60" s="446"/>
      <c r="G60" s="446"/>
      <c r="H60" s="446"/>
      <c r="I60" s="446"/>
      <c r="J60" s="446"/>
      <c r="K60" s="446"/>
      <c r="L60" s="446"/>
      <c r="M60" s="446"/>
      <c r="N60" s="461"/>
    </row>
    <row r="61" spans="4:29" s="187" customFormat="1" ht="18" customHeight="1">
      <c r="D61" s="357" t="s">
        <v>424</v>
      </c>
      <c r="E61" s="7" t="s">
        <v>427</v>
      </c>
      <c r="F61" s="7"/>
      <c r="G61" s="7"/>
      <c r="H61" s="7"/>
      <c r="I61" s="7">
        <v>0</v>
      </c>
      <c r="J61" s="7">
        <v>0</v>
      </c>
      <c r="K61" s="7">
        <v>0</v>
      </c>
      <c r="L61" s="7"/>
      <c r="M61" s="7"/>
      <c r="N61" s="15">
        <v>0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4:29" s="187" customFormat="1" ht="18" customHeight="1">
      <c r="D62" s="357" t="s">
        <v>425</v>
      </c>
      <c r="E62" s="7" t="s">
        <v>427</v>
      </c>
      <c r="F62" s="7">
        <v>2590571062</v>
      </c>
      <c r="G62" s="7">
        <v>3980039925</v>
      </c>
      <c r="H62" s="7">
        <v>4302288016</v>
      </c>
      <c r="I62" s="7">
        <v>0</v>
      </c>
      <c r="J62" s="7">
        <v>0</v>
      </c>
      <c r="K62" s="7">
        <v>0</v>
      </c>
      <c r="L62" s="7"/>
      <c r="M62" s="7"/>
      <c r="N62" s="15">
        <v>0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4:29" ht="18" customHeight="1">
      <c r="D63" s="357" t="s">
        <v>426</v>
      </c>
      <c r="E63" s="7" t="s">
        <v>427</v>
      </c>
      <c r="I63" s="7">
        <v>0</v>
      </c>
      <c r="J63" s="7">
        <v>0</v>
      </c>
      <c r="K63" s="7">
        <v>0</v>
      </c>
      <c r="N63" s="15">
        <v>0</v>
      </c>
      <c r="R63" s="187"/>
      <c r="X63" s="187"/>
      <c r="Y63" s="187"/>
      <c r="Z63" s="187"/>
      <c r="AA63" s="187"/>
      <c r="AB63" s="187"/>
    </row>
    <row r="64" spans="4:29" ht="18" customHeight="1">
      <c r="D64" s="462"/>
      <c r="E64" s="187" t="s">
        <v>428</v>
      </c>
      <c r="F64" s="187">
        <f>SUM(F61:F63)</f>
        <v>2590571062</v>
      </c>
      <c r="G64" s="187">
        <f>SUM(G61:G63)</f>
        <v>3980039925</v>
      </c>
      <c r="H64" s="187">
        <f>SUM(H61:H63)</f>
        <v>4302288016</v>
      </c>
      <c r="I64" s="187">
        <v>0</v>
      </c>
      <c r="J64" s="187">
        <v>0</v>
      </c>
      <c r="K64" s="187">
        <v>0</v>
      </c>
      <c r="L64" s="187"/>
      <c r="M64" s="187"/>
      <c r="N64" s="463">
        <v>0</v>
      </c>
    </row>
    <row r="65" spans="4:28" ht="18" customHeight="1">
      <c r="D65" s="455"/>
      <c r="E65" s="456"/>
      <c r="F65" s="456" t="b">
        <f>SUM(F66:F70)=0</f>
        <v>1</v>
      </c>
      <c r="G65" s="456"/>
      <c r="H65" s="456"/>
      <c r="I65" s="456"/>
      <c r="J65" s="456"/>
      <c r="K65" s="456"/>
      <c r="L65" s="456"/>
      <c r="M65" s="456"/>
      <c r="N65" s="457"/>
    </row>
    <row r="66" spans="4:28" ht="18" customHeight="1">
      <c r="D66" s="464" t="s">
        <v>301</v>
      </c>
      <c r="E66" s="7" t="s">
        <v>302</v>
      </c>
      <c r="F66" s="7">
        <f>-SUM(F67:F68)</f>
        <v>-187821115</v>
      </c>
      <c r="G66" s="7">
        <f>-SUM(G67:G68)</f>
        <v>-1389468863</v>
      </c>
      <c r="H66" s="7">
        <f>-SUM(H67:H68)</f>
        <v>-1711716954</v>
      </c>
      <c r="I66" s="7">
        <v>0</v>
      </c>
      <c r="J66" s="7">
        <v>0</v>
      </c>
      <c r="K66" s="7">
        <v>0</v>
      </c>
      <c r="N66" s="15">
        <v>0</v>
      </c>
    </row>
    <row r="67" spans="4:28" ht="18" customHeight="1">
      <c r="D67" s="464" t="s">
        <v>1356</v>
      </c>
      <c r="E67" s="7" t="s">
        <v>402</v>
      </c>
      <c r="F67" s="7">
        <v>-2402749947</v>
      </c>
      <c r="G67" s="7">
        <f>-F68</f>
        <v>-2590571062</v>
      </c>
      <c r="H67" s="7">
        <f>-F68</f>
        <v>-2590571062</v>
      </c>
      <c r="I67" s="7">
        <v>0</v>
      </c>
      <c r="J67" s="7">
        <v>0</v>
      </c>
      <c r="K67" s="7">
        <v>0</v>
      </c>
      <c r="N67" s="15">
        <v>0</v>
      </c>
      <c r="R67" s="187"/>
      <c r="X67" s="187"/>
      <c r="Y67" s="187"/>
      <c r="Z67" s="187"/>
      <c r="AA67" s="187"/>
      <c r="AB67" s="187"/>
    </row>
    <row r="68" spans="4:28" s="187" customFormat="1" ht="18" customHeight="1">
      <c r="D68" s="464">
        <v>111732</v>
      </c>
      <c r="E68" s="7" t="s">
        <v>27</v>
      </c>
      <c r="F68" s="7">
        <f>F64</f>
        <v>2590571062</v>
      </c>
      <c r="G68" s="7">
        <f>G64</f>
        <v>3980039925</v>
      </c>
      <c r="H68" s="7">
        <f>H64</f>
        <v>4302288016</v>
      </c>
      <c r="I68" s="7">
        <v>0</v>
      </c>
      <c r="J68" s="7">
        <v>0</v>
      </c>
      <c r="K68" s="7">
        <v>0</v>
      </c>
      <c r="L68" s="7"/>
      <c r="M68" s="7"/>
      <c r="N68" s="15">
        <v>0</v>
      </c>
      <c r="S68" s="7"/>
      <c r="T68" s="7"/>
      <c r="U68" s="7"/>
      <c r="V68" s="7"/>
      <c r="W68" s="7"/>
    </row>
    <row r="69" spans="4:28" ht="18" customHeight="1">
      <c r="D69" s="357" t="s">
        <v>1357</v>
      </c>
      <c r="E69" s="7" t="s">
        <v>209</v>
      </c>
      <c r="F69" s="7">
        <f>F66</f>
        <v>-187821115</v>
      </c>
      <c r="G69" s="7">
        <f>G66</f>
        <v>-1389468863</v>
      </c>
      <c r="H69" s="7">
        <f>H66</f>
        <v>-1711716954</v>
      </c>
      <c r="I69" s="7">
        <v>0</v>
      </c>
      <c r="J69" s="7">
        <v>0</v>
      </c>
      <c r="K69" s="7">
        <v>0</v>
      </c>
      <c r="N69" s="15">
        <v>0</v>
      </c>
    </row>
    <row r="70" spans="4:28" ht="18" customHeight="1">
      <c r="D70" s="357"/>
      <c r="E70" s="7" t="s">
        <v>422</v>
      </c>
      <c r="F70" s="7">
        <f>-F69</f>
        <v>187821115</v>
      </c>
      <c r="G70" s="7">
        <f>-G69</f>
        <v>1389468863</v>
      </c>
      <c r="H70" s="7">
        <f>-H69</f>
        <v>1711716954</v>
      </c>
      <c r="I70" s="7">
        <v>0</v>
      </c>
      <c r="J70" s="7">
        <v>0</v>
      </c>
      <c r="K70" s="7">
        <v>0</v>
      </c>
      <c r="N70" s="15">
        <v>0</v>
      </c>
    </row>
    <row r="71" spans="4:28" ht="18" customHeight="1">
      <c r="D71" s="445" t="s">
        <v>1655</v>
      </c>
      <c r="E71" s="446"/>
      <c r="F71" s="446"/>
      <c r="G71" s="446"/>
      <c r="H71" s="446"/>
      <c r="I71" s="446"/>
      <c r="J71" s="446"/>
      <c r="K71" s="446"/>
      <c r="L71" s="446"/>
      <c r="M71" s="446"/>
      <c r="N71" s="461"/>
    </row>
    <row r="72" spans="4:28" ht="18" customHeight="1">
      <c r="D72" s="357" t="s">
        <v>295</v>
      </c>
      <c r="E72" s="7" t="s">
        <v>296</v>
      </c>
      <c r="H72" s="7">
        <v>-1181400000</v>
      </c>
      <c r="I72" s="7">
        <f>H72</f>
        <v>-1181400000</v>
      </c>
      <c r="J72" s="7">
        <f>H72</f>
        <v>-1181400000</v>
      </c>
      <c r="N72" s="15"/>
    </row>
    <row r="73" spans="4:28" ht="18" customHeight="1">
      <c r="D73" s="357" t="s">
        <v>1356</v>
      </c>
      <c r="E73" s="7" t="s">
        <v>402</v>
      </c>
      <c r="H73" s="7">
        <f>-H72</f>
        <v>1181400000</v>
      </c>
      <c r="I73" s="7">
        <f>H73</f>
        <v>1181400000</v>
      </c>
      <c r="J73" s="7">
        <f>H73</f>
        <v>1181400000</v>
      </c>
      <c r="N73" s="15"/>
    </row>
    <row r="74" spans="4:28" ht="18" customHeight="1">
      <c r="D74" s="357" t="s">
        <v>1357</v>
      </c>
      <c r="E74" s="7" t="s">
        <v>209</v>
      </c>
      <c r="H74" s="7">
        <f>H72</f>
        <v>-1181400000</v>
      </c>
      <c r="I74" s="7">
        <f>H74</f>
        <v>-1181400000</v>
      </c>
      <c r="J74" s="7">
        <f>H74</f>
        <v>-1181400000</v>
      </c>
      <c r="N74" s="15"/>
      <c r="R74" s="187"/>
      <c r="X74" s="187"/>
      <c r="Y74" s="187"/>
      <c r="Z74" s="187"/>
      <c r="AA74" s="187"/>
      <c r="AB74" s="187"/>
    </row>
    <row r="75" spans="4:28" ht="18" customHeight="1" thickBot="1">
      <c r="D75" s="465"/>
      <c r="E75" s="16" t="s">
        <v>422</v>
      </c>
      <c r="F75" s="16"/>
      <c r="G75" s="16"/>
      <c r="H75" s="16">
        <f>-H74</f>
        <v>1181400000</v>
      </c>
      <c r="I75" s="16">
        <f>H75</f>
        <v>1181400000</v>
      </c>
      <c r="J75" s="16">
        <f>H75</f>
        <v>1181400000</v>
      </c>
      <c r="K75" s="16"/>
      <c r="L75" s="16"/>
      <c r="M75" s="16"/>
      <c r="N75" s="17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>
    <tabColor rgb="FFFFFF00"/>
  </sheetPr>
  <dimension ref="D3:T37"/>
  <sheetViews>
    <sheetView showGridLines="0" zoomScale="80" zoomScaleNormal="80" workbookViewId="0">
      <selection activeCell="N10" sqref="N10"/>
    </sheetView>
  </sheetViews>
  <sheetFormatPr defaultColWidth="8.75" defaultRowHeight="18" customHeight="1"/>
  <cols>
    <col min="1" max="3" width="2.375" style="7" customWidth="1"/>
    <col min="4" max="4" width="20.375" style="7" customWidth="1"/>
    <col min="5" max="5" width="32.125" style="7" customWidth="1"/>
    <col min="6" max="14" width="20.375" style="7" customWidth="1"/>
    <col min="15" max="15" width="4.125" style="7" customWidth="1"/>
    <col min="16" max="20" width="20.375" style="7" customWidth="1"/>
    <col min="21" max="16384" width="8.75" style="7"/>
  </cols>
  <sheetData>
    <row r="3" spans="4:20" ht="18" customHeight="1">
      <c r="D3" s="843"/>
      <c r="N3" s="843" t="s">
        <v>2221</v>
      </c>
    </row>
    <row r="4" spans="4:20" s="186" customFormat="1" ht="18" customHeight="1" thickBot="1">
      <c r="F4" s="186" t="b">
        <f>SUM(F6:F48)=0</f>
        <v>1</v>
      </c>
      <c r="G4" s="186" t="b">
        <f t="shared" ref="G4:N4" si="0">SUM(G6:G48)=0</f>
        <v>1</v>
      </c>
      <c r="H4" s="186" t="b">
        <f t="shared" si="0"/>
        <v>1</v>
      </c>
      <c r="I4" s="186" t="b">
        <f t="shared" si="0"/>
        <v>1</v>
      </c>
      <c r="J4" s="186" t="b">
        <f>SUM(J6:J48)=0</f>
        <v>1</v>
      </c>
      <c r="K4" s="186" t="b">
        <f>SUM(K6:K48)=0</f>
        <v>1</v>
      </c>
      <c r="L4" s="186" t="b">
        <f>SUM(L6:L48)=0</f>
        <v>1</v>
      </c>
      <c r="M4" s="186" t="b">
        <f>SUM(M6:M48)=0</f>
        <v>1</v>
      </c>
      <c r="N4" s="186" t="b">
        <f t="shared" si="0"/>
        <v>1</v>
      </c>
      <c r="P4" s="186" t="s">
        <v>2226</v>
      </c>
    </row>
    <row r="5" spans="4:20" ht="18" customHeight="1">
      <c r="D5" s="391" t="s">
        <v>16</v>
      </c>
      <c r="E5" s="392" t="s">
        <v>19</v>
      </c>
      <c r="F5" s="392" t="s">
        <v>394</v>
      </c>
      <c r="G5" s="392" t="s">
        <v>395</v>
      </c>
      <c r="H5" s="392" t="s">
        <v>396</v>
      </c>
      <c r="I5" s="392" t="s">
        <v>397</v>
      </c>
      <c r="J5" s="392" t="s">
        <v>398</v>
      </c>
      <c r="K5" s="393" t="s">
        <v>1984</v>
      </c>
      <c r="L5" s="393" t="s">
        <v>2171</v>
      </c>
      <c r="M5" s="393" t="s">
        <v>2206</v>
      </c>
      <c r="N5" s="393" t="str">
        <f>+'4.0'!N4</f>
        <v>2020 4Q</v>
      </c>
      <c r="P5" s="424"/>
    </row>
    <row r="6" spans="4:20" s="211" customFormat="1" ht="18" customHeight="1">
      <c r="D6" s="400" t="s">
        <v>458</v>
      </c>
      <c r="E6" s="401"/>
      <c r="F6" s="401"/>
      <c r="G6" s="401"/>
      <c r="H6" s="401"/>
      <c r="I6" s="401"/>
      <c r="J6" s="401"/>
      <c r="K6" s="401"/>
      <c r="L6" s="794"/>
      <c r="M6" s="402"/>
      <c r="N6" s="402"/>
      <c r="P6" s="425"/>
      <c r="S6" s="211">
        <f>SUM(S7:S10)</f>
        <v>5898836168</v>
      </c>
      <c r="T6" s="211" t="s">
        <v>1984</v>
      </c>
    </row>
    <row r="7" spans="4:20" s="211" customFormat="1" ht="18" customHeight="1">
      <c r="D7" s="403" t="s">
        <v>487</v>
      </c>
      <c r="E7" s="404" t="s">
        <v>2047</v>
      </c>
      <c r="F7" s="426">
        <f>'5.1'!L18</f>
        <v>5731508601</v>
      </c>
      <c r="G7" s="426">
        <f>'5.1'!M18</f>
        <v>5648912780</v>
      </c>
      <c r="H7" s="404">
        <f>'5.1'!N18</f>
        <v>5721586093</v>
      </c>
      <c r="I7" s="404">
        <f>'5.1'!O18</f>
        <v>5753390119</v>
      </c>
      <c r="J7" s="404">
        <v>5321843161</v>
      </c>
      <c r="K7" s="404">
        <f>'5.1'!Q18</f>
        <v>5474397504</v>
      </c>
      <c r="L7" s="524">
        <v>7284737363</v>
      </c>
      <c r="M7" s="405">
        <v>7258693635</v>
      </c>
      <c r="N7" s="405">
        <f>'5.1'!T16</f>
        <v>6881418585</v>
      </c>
      <c r="P7" s="425"/>
      <c r="S7" s="211">
        <f>-H10</f>
        <v>117221748</v>
      </c>
    </row>
    <row r="8" spans="4:20" s="211" customFormat="1" ht="18" customHeight="1">
      <c r="D8" s="403" t="s">
        <v>2050</v>
      </c>
      <c r="E8" s="404" t="s">
        <v>2051</v>
      </c>
      <c r="F8" s="426"/>
      <c r="G8" s="426"/>
      <c r="H8" s="404"/>
      <c r="I8" s="404"/>
      <c r="J8" s="404"/>
      <c r="K8" s="404"/>
      <c r="L8" s="524">
        <v>-2064008920</v>
      </c>
      <c r="M8" s="405">
        <v>-2238097204</v>
      </c>
      <c r="N8" s="405">
        <f>'5.1'!T17</f>
        <v>-2293806195</v>
      </c>
      <c r="P8" s="425"/>
    </row>
    <row r="9" spans="4:20" s="211" customFormat="1" ht="18" customHeight="1">
      <c r="D9" s="403" t="s">
        <v>390</v>
      </c>
      <c r="E9" s="404" t="s">
        <v>451</v>
      </c>
      <c r="F9" s="426">
        <f>SUM('5.1'!I19:L19)</f>
        <v>647780609</v>
      </c>
      <c r="G9" s="426">
        <f>'5.1'!M19</f>
        <v>166769606</v>
      </c>
      <c r="H9" s="404">
        <f>SUM('5.1'!M19:N19)</f>
        <v>336747355</v>
      </c>
      <c r="I9" s="404">
        <f>SUM('5.1'!$M19:O19)</f>
        <v>510659404</v>
      </c>
      <c r="J9" s="404">
        <f>SUM('5.1'!$M19:P19)</f>
        <v>685224178</v>
      </c>
      <c r="K9" s="404">
        <f>+'5.1'!Q19</f>
        <v>178889077</v>
      </c>
      <c r="L9" s="524">
        <v>363998624</v>
      </c>
      <c r="M9" s="405">
        <v>546683297</v>
      </c>
      <c r="N9" s="405">
        <f>SUM('5.1'!Q19:T19)</f>
        <v>719869189</v>
      </c>
      <c r="P9" s="425"/>
      <c r="S9" s="211">
        <f>-H11</f>
        <v>1991684142</v>
      </c>
      <c r="T9" s="211">
        <f>ROUND(+S9/3*3,)</f>
        <v>1991684142</v>
      </c>
    </row>
    <row r="10" spans="4:20" s="211" customFormat="1" ht="18" customHeight="1">
      <c r="D10" s="406" t="s">
        <v>381</v>
      </c>
      <c r="E10" s="404" t="s">
        <v>452</v>
      </c>
      <c r="F10" s="426">
        <f>-SUM('5.1'!I20:L20)</f>
        <v>-225492417</v>
      </c>
      <c r="G10" s="426">
        <f>-'5.1'!M20</f>
        <v>-58052497</v>
      </c>
      <c r="H10" s="404">
        <f>-SUM('5.1'!M20:N20)</f>
        <v>-117221748</v>
      </c>
      <c r="I10" s="404">
        <f>-SUM('5.1'!$M20:O20)</f>
        <v>-177760529</v>
      </c>
      <c r="J10" s="404">
        <f>-SUM('5.1'!$M20:P20)</f>
        <v>-238526523</v>
      </c>
      <c r="K10" s="404">
        <f>-'5.1'!Q20</f>
        <v>-62271284</v>
      </c>
      <c r="L10" s="524">
        <v>-126707914</v>
      </c>
      <c r="M10" s="405">
        <v>-190300445</v>
      </c>
      <c r="N10" s="405">
        <f>-SUM('5.1'!Q20:T20)</f>
        <v>-1924499179</v>
      </c>
      <c r="P10" s="425"/>
      <c r="S10" s="211">
        <f>-H14</f>
        <v>3789930278</v>
      </c>
      <c r="T10" s="211">
        <f>ROUND(+S10/3*3,)</f>
        <v>3789930278</v>
      </c>
    </row>
    <row r="11" spans="4:20" s="211" customFormat="1" ht="18" customHeight="1">
      <c r="D11" s="403" t="s">
        <v>1348</v>
      </c>
      <c r="E11" s="404" t="s">
        <v>453</v>
      </c>
      <c r="F11" s="426">
        <f>-'5.1'!L21</f>
        <v>-1995138159</v>
      </c>
      <c r="G11" s="426">
        <f>-'5.1'!M21</f>
        <v>-1966386557</v>
      </c>
      <c r="H11" s="404">
        <f>-'5.1'!N21</f>
        <v>-1991684142</v>
      </c>
      <c r="I11" s="404">
        <f>-'5.1'!O21</f>
        <v>-2002755127</v>
      </c>
      <c r="J11" s="404">
        <f>-'5.1'!P21</f>
        <v>-1852533634</v>
      </c>
      <c r="K11" s="404">
        <f>-'5.1'!Q21</f>
        <v>-1905637806</v>
      </c>
      <c r="L11" s="524">
        <v>-1817335609</v>
      </c>
      <c r="M11" s="405">
        <v>-1747669659</v>
      </c>
      <c r="N11" s="405">
        <f>-'5.1'!T21</f>
        <v>0</v>
      </c>
      <c r="P11" s="425"/>
      <c r="S11" s="211">
        <v>159497280</v>
      </c>
    </row>
    <row r="12" spans="4:20" s="211" customFormat="1" ht="18" customHeight="1">
      <c r="D12" s="403" t="s">
        <v>1354</v>
      </c>
      <c r="E12" s="404" t="s">
        <v>204</v>
      </c>
      <c r="F12" s="426">
        <f>-SUM('5.1'!H22:L22)</f>
        <v>53559836</v>
      </c>
      <c r="G12" s="426">
        <f>-'5.1'!M22</f>
        <v>-54872890</v>
      </c>
      <c r="H12" s="404">
        <f>-SUM('5.1'!H22:N22)</f>
        <v>-159497280</v>
      </c>
      <c r="I12" s="404">
        <f>-SUM('5.1'!$H$22:O22)</f>
        <v>-293603589</v>
      </c>
      <c r="J12" s="404">
        <f>-SUM('5.1'!$H$22:P22)</f>
        <v>-126076904</v>
      </c>
      <c r="K12" s="404">
        <f>-SUM('5.1'!$H$22:Q22)</f>
        <v>-342144868</v>
      </c>
      <c r="L12" s="524">
        <v>-297450921</v>
      </c>
      <c r="M12" s="405">
        <v>-286077001</v>
      </c>
      <c r="N12" s="405">
        <f>-SUM('5.1'!H22:T22)</f>
        <v>-260849492</v>
      </c>
      <c r="P12" s="425">
        <f>N12-SUM(J12:J13)</f>
        <v>-134772588</v>
      </c>
      <c r="Q12" s="211">
        <f>J12-SUM(F12:F13)</f>
        <v>-175053979</v>
      </c>
    </row>
    <row r="13" spans="4:20" s="211" customFormat="1" ht="18" customHeight="1">
      <c r="D13" s="403" t="s">
        <v>1354</v>
      </c>
      <c r="E13" s="404" t="s">
        <v>204</v>
      </c>
      <c r="F13" s="426">
        <v>-4582761</v>
      </c>
      <c r="G13" s="426"/>
      <c r="H13" s="404"/>
      <c r="I13" s="404"/>
      <c r="J13" s="404"/>
      <c r="K13" s="404"/>
      <c r="L13" s="524"/>
      <c r="M13" s="405"/>
      <c r="N13" s="405"/>
      <c r="P13" s="425"/>
    </row>
    <row r="14" spans="4:20" s="211" customFormat="1" ht="18" customHeight="1">
      <c r="D14" s="403" t="s">
        <v>1356</v>
      </c>
      <c r="E14" s="404" t="s">
        <v>207</v>
      </c>
      <c r="F14" s="426">
        <f>-SUM(F7:F13,F15:F16)</f>
        <v>-4207635709</v>
      </c>
      <c r="G14" s="426">
        <f>-SUM(F7,F11)</f>
        <v>-3736370442</v>
      </c>
      <c r="H14" s="404">
        <f>-SUM(H7:H12,H15:H16)</f>
        <v>-3789930278</v>
      </c>
      <c r="I14" s="404">
        <f>-SUM(I7:I12,I15:I16)</f>
        <v>-3789930278</v>
      </c>
      <c r="J14" s="404">
        <f>-SUM(J7:J12,J15:J16)</f>
        <v>-3789930278</v>
      </c>
      <c r="K14" s="404">
        <f>-SUM(K7:K12,K15:K16)</f>
        <v>-3343232623</v>
      </c>
      <c r="L14" s="524">
        <v>-3343232623</v>
      </c>
      <c r="M14" s="404">
        <v>-3343232623</v>
      </c>
      <c r="N14" s="404">
        <f>-SUM(N7:N12,N15:N21)</f>
        <v>-3343232623</v>
      </c>
      <c r="P14" s="425"/>
    </row>
    <row r="15" spans="4:20" s="211" customFormat="1" ht="18" customHeight="1">
      <c r="D15" s="403" t="s">
        <v>1357</v>
      </c>
      <c r="E15" s="404" t="s">
        <v>209</v>
      </c>
      <c r="F15" s="426">
        <f>SUM(F9:F10)</f>
        <v>422288192</v>
      </c>
      <c r="G15" s="426">
        <f>SUM(G9:G10)</f>
        <v>108717109</v>
      </c>
      <c r="H15" s="404">
        <f>SUM(H9:H10)</f>
        <v>219525607</v>
      </c>
      <c r="I15" s="404">
        <f>SUM(I9:I10)</f>
        <v>332898875</v>
      </c>
      <c r="J15" s="404">
        <v>446697655</v>
      </c>
      <c r="K15" s="404">
        <f>SUM(K9:K10)</f>
        <v>116617793</v>
      </c>
      <c r="L15" s="524">
        <v>237290710</v>
      </c>
      <c r="M15" s="404">
        <v>356382852</v>
      </c>
      <c r="N15" s="404">
        <f>SUM(N9:N10)</f>
        <v>-1204629990</v>
      </c>
      <c r="P15" s="425"/>
      <c r="T15" s="211">
        <v>11.308299999999999</v>
      </c>
    </row>
    <row r="16" spans="4:20" s="211" customFormat="1" ht="18" customHeight="1">
      <c r="D16" s="403" t="s">
        <v>479</v>
      </c>
      <c r="E16" s="404" t="s">
        <v>422</v>
      </c>
      <c r="F16" s="426">
        <f>-F15</f>
        <v>-422288192</v>
      </c>
      <c r="G16" s="426">
        <f>-G15</f>
        <v>-108717109</v>
      </c>
      <c r="H16" s="404">
        <f>-H15</f>
        <v>-219525607</v>
      </c>
      <c r="I16" s="404">
        <f>-I15</f>
        <v>-332898875</v>
      </c>
      <c r="J16" s="404">
        <v>-446697655</v>
      </c>
      <c r="K16" s="404">
        <f>-K15</f>
        <v>-116617793</v>
      </c>
      <c r="L16" s="524">
        <v>-237290710</v>
      </c>
      <c r="M16" s="404">
        <v>-356382852</v>
      </c>
      <c r="N16" s="404">
        <f>-N15</f>
        <v>1204629990</v>
      </c>
      <c r="P16" s="425"/>
      <c r="T16" s="211">
        <v>10.9626</v>
      </c>
    </row>
    <row r="17" spans="4:20" s="211" customFormat="1" ht="18" customHeight="1">
      <c r="D17" s="403"/>
      <c r="E17" s="404"/>
      <c r="F17" s="426"/>
      <c r="G17" s="426"/>
      <c r="H17" s="404"/>
      <c r="I17" s="404"/>
      <c r="J17" s="404"/>
      <c r="K17" s="404"/>
      <c r="L17" s="524"/>
      <c r="M17" s="524"/>
      <c r="N17" s="524"/>
      <c r="P17" s="425"/>
    </row>
    <row r="18" spans="4:20" s="211" customFormat="1" ht="18" customHeight="1">
      <c r="D18" s="403" t="s">
        <v>2282</v>
      </c>
      <c r="E18" s="211" t="s">
        <v>2281</v>
      </c>
      <c r="F18" s="426"/>
      <c r="G18" s="426"/>
      <c r="H18" s="404"/>
      <c r="I18" s="404"/>
      <c r="J18" s="404"/>
      <c r="K18" s="404"/>
      <c r="L18" s="524"/>
      <c r="M18" s="524"/>
      <c r="N18" s="865">
        <f>'5.1'!T24</f>
        <v>-4587612390</v>
      </c>
      <c r="P18" s="425"/>
    </row>
    <row r="19" spans="4:20" s="211" customFormat="1" ht="18" customHeight="1">
      <c r="D19" s="14" t="s">
        <v>362</v>
      </c>
      <c r="E19" s="6" t="s">
        <v>1969</v>
      </c>
      <c r="F19" s="426"/>
      <c r="G19" s="426"/>
      <c r="H19" s="404"/>
      <c r="I19" s="404"/>
      <c r="J19" s="404"/>
      <c r="K19" s="404"/>
      <c r="L19" s="524"/>
      <c r="M19" s="524"/>
      <c r="N19" s="880">
        <f>'5.1'!T23</f>
        <v>4808712105</v>
      </c>
      <c r="P19" s="425"/>
    </row>
    <row r="20" spans="4:20" s="211" customFormat="1" ht="18" customHeight="1">
      <c r="D20" s="403" t="s">
        <v>1357</v>
      </c>
      <c r="E20" s="404" t="s">
        <v>209</v>
      </c>
      <c r="F20" s="426"/>
      <c r="G20" s="426"/>
      <c r="H20" s="404"/>
      <c r="I20" s="404"/>
      <c r="J20" s="404"/>
      <c r="K20" s="404"/>
      <c r="L20" s="524"/>
      <c r="M20" s="524"/>
      <c r="N20" s="865">
        <f>N19</f>
        <v>4808712105</v>
      </c>
      <c r="P20" s="425"/>
    </row>
    <row r="21" spans="4:20" s="211" customFormat="1" ht="18" customHeight="1">
      <c r="D21" s="403" t="s">
        <v>479</v>
      </c>
      <c r="E21" s="404" t="s">
        <v>422</v>
      </c>
      <c r="F21" s="426"/>
      <c r="G21" s="426"/>
      <c r="H21" s="404"/>
      <c r="I21" s="404"/>
      <c r="J21" s="404"/>
      <c r="K21" s="404"/>
      <c r="L21" s="524"/>
      <c r="M21" s="524"/>
      <c r="N21" s="865">
        <f>-N20</f>
        <v>-4808712105</v>
      </c>
      <c r="P21" s="425"/>
    </row>
    <row r="22" spans="4:20" s="211" customFormat="1" ht="18" customHeight="1">
      <c r="D22" s="427"/>
      <c r="E22" s="404"/>
      <c r="F22" s="426"/>
      <c r="G22" s="426"/>
      <c r="H22" s="404"/>
      <c r="I22" s="404"/>
      <c r="J22" s="404"/>
      <c r="K22" s="404"/>
      <c r="L22" s="524"/>
      <c r="M22" s="405"/>
      <c r="N22" s="405"/>
      <c r="P22" s="425"/>
      <c r="T22" s="428"/>
    </row>
    <row r="23" spans="4:20" s="210" customFormat="1" ht="18" customHeight="1">
      <c r="D23" s="429" t="s">
        <v>129</v>
      </c>
      <c r="E23" s="430"/>
      <c r="F23" s="430"/>
      <c r="G23" s="430"/>
      <c r="H23" s="430"/>
      <c r="I23" s="430"/>
      <c r="J23" s="430"/>
      <c r="K23" s="430"/>
      <c r="L23" s="795"/>
      <c r="M23" s="431"/>
      <c r="N23" s="431"/>
      <c r="P23" s="432"/>
      <c r="T23" s="433"/>
    </row>
    <row r="24" spans="4:20" s="211" customFormat="1" ht="18" customHeight="1">
      <c r="D24" s="403" t="s">
        <v>128</v>
      </c>
      <c r="E24" s="404" t="s">
        <v>129</v>
      </c>
      <c r="F24" s="426">
        <v>25657490389</v>
      </c>
      <c r="G24" s="426">
        <v>21880679425</v>
      </c>
      <c r="H24" s="404">
        <v>22839737952</v>
      </c>
      <c r="I24" s="404">
        <v>23691218644</v>
      </c>
      <c r="J24" s="404">
        <v>2035997533</v>
      </c>
      <c r="K24" s="404">
        <v>2163700414</v>
      </c>
      <c r="L24" s="524">
        <v>2135680096</v>
      </c>
      <c r="M24" s="405">
        <v>23959832946</v>
      </c>
      <c r="N24" s="405">
        <f>'5.2'!CP19+'5.2'!CP20+'5.2'!CP21</f>
        <v>22730979412</v>
      </c>
      <c r="P24" s="425"/>
      <c r="T24" s="428"/>
    </row>
    <row r="25" spans="4:20" s="211" customFormat="1" ht="18" customHeight="1">
      <c r="D25" s="394" t="s">
        <v>130</v>
      </c>
      <c r="E25" s="52" t="s">
        <v>131</v>
      </c>
      <c r="F25" s="426"/>
      <c r="G25" s="426"/>
      <c r="H25" s="404"/>
      <c r="I25" s="404"/>
      <c r="J25" s="404"/>
      <c r="K25" s="404"/>
      <c r="L25" s="524"/>
      <c r="M25" s="405">
        <v>-21831717197</v>
      </c>
      <c r="N25" s="405">
        <f>'5.2'!CR19+'5.2'!CR20+'5.2'!CR21</f>
        <v>-20712442443</v>
      </c>
      <c r="P25" s="425"/>
      <c r="T25" s="428"/>
    </row>
    <row r="26" spans="4:20" s="211" customFormat="1" ht="18" customHeight="1">
      <c r="D26" s="403" t="s">
        <v>1356</v>
      </c>
      <c r="E26" s="404" t="s">
        <v>207</v>
      </c>
      <c r="F26" s="426">
        <f>-F24-F30</f>
        <v>-25864992300</v>
      </c>
      <c r="G26" s="426">
        <f>-G24</f>
        <v>-21880679425</v>
      </c>
      <c r="H26" s="404">
        <v>-21767999083</v>
      </c>
      <c r="I26" s="52">
        <f>-SUM(I24,I30)</f>
        <v>-21767999083</v>
      </c>
      <c r="J26" s="52">
        <f>-SUM(J24,J30)</f>
        <v>-1174311828</v>
      </c>
      <c r="K26" s="52">
        <v>-1174311828</v>
      </c>
      <c r="L26" s="396">
        <v>-1174311828</v>
      </c>
      <c r="M26" s="53">
        <v>-1174311828</v>
      </c>
      <c r="N26" s="53">
        <f>-SUM(N24,N30,N25)</f>
        <v>-1174311828</v>
      </c>
      <c r="P26" s="425"/>
      <c r="T26" s="428"/>
    </row>
    <row r="27" spans="4:20" s="211" customFormat="1" ht="18" customHeight="1">
      <c r="D27" s="403" t="s">
        <v>362</v>
      </c>
      <c r="E27" s="404" t="s">
        <v>486</v>
      </c>
      <c r="F27" s="426"/>
      <c r="G27" s="426"/>
      <c r="H27" s="404"/>
      <c r="I27" s="52"/>
      <c r="J27" s="52"/>
      <c r="K27" s="52"/>
      <c r="L27" s="396"/>
      <c r="M27" s="53"/>
      <c r="N27" s="53"/>
      <c r="P27" s="425"/>
      <c r="T27" s="428"/>
    </row>
    <row r="28" spans="4:20" s="211" customFormat="1" ht="18" customHeight="1">
      <c r="D28" s="403" t="s">
        <v>128</v>
      </c>
      <c r="E28" s="404" t="s">
        <v>129</v>
      </c>
      <c r="F28" s="426">
        <f>-'1.0'!F7</f>
        <v>-19842800</v>
      </c>
      <c r="G28" s="426">
        <f>-'1.0'!G7</f>
        <v>-19842800</v>
      </c>
      <c r="H28" s="404">
        <v>-19842800</v>
      </c>
      <c r="I28" s="404">
        <v>-19842800</v>
      </c>
      <c r="J28" s="404">
        <v>-19842800</v>
      </c>
      <c r="K28" s="404">
        <v>-19842800</v>
      </c>
      <c r="L28" s="524">
        <v>-19842800</v>
      </c>
      <c r="M28" s="524">
        <v>-19842800</v>
      </c>
      <c r="N28" s="524">
        <v>-19842800</v>
      </c>
      <c r="P28" s="425"/>
    </row>
    <row r="29" spans="4:20" s="211" customFormat="1" ht="18" customHeight="1">
      <c r="D29" s="403" t="s">
        <v>1356</v>
      </c>
      <c r="E29" s="404" t="s">
        <v>207</v>
      </c>
      <c r="F29" s="426">
        <f>-F28</f>
        <v>19842800</v>
      </c>
      <c r="G29" s="426">
        <f>-G28</f>
        <v>19842800</v>
      </c>
      <c r="H29" s="404">
        <v>19842800</v>
      </c>
      <c r="I29" s="404">
        <v>19842800</v>
      </c>
      <c r="J29" s="404">
        <v>19842800</v>
      </c>
      <c r="K29" s="404">
        <v>19842800</v>
      </c>
      <c r="L29" s="524">
        <v>19842800</v>
      </c>
      <c r="M29" s="524">
        <v>19842800</v>
      </c>
      <c r="N29" s="524">
        <v>19842800</v>
      </c>
      <c r="P29" s="425"/>
    </row>
    <row r="30" spans="4:20" s="211" customFormat="1" ht="18" customHeight="1">
      <c r="D30" s="403" t="s">
        <v>1354</v>
      </c>
      <c r="E30" s="404" t="s">
        <v>204</v>
      </c>
      <c r="F30" s="426">
        <v>207501911</v>
      </c>
      <c r="G30" s="426"/>
      <c r="H30" s="404">
        <v>-1071738869</v>
      </c>
      <c r="I30" s="404">
        <v>-1923219561</v>
      </c>
      <c r="J30" s="404">
        <v>-861685705</v>
      </c>
      <c r="K30" s="404">
        <v>-989388586</v>
      </c>
      <c r="L30" s="524">
        <v>-961368268</v>
      </c>
      <c r="M30" s="53">
        <v>-953803921</v>
      </c>
      <c r="N30" s="53">
        <f>-('5.2'!CO19+'5.2'!AS19+'5.2'!L19)</f>
        <v>-844225141</v>
      </c>
      <c r="P30" s="425">
        <f>N30-J30-J31</f>
        <v>17460564</v>
      </c>
      <c r="Q30" s="211">
        <f>J30-SUM(F30:F31)</f>
        <v>-1069187616</v>
      </c>
    </row>
    <row r="31" spans="4:20" s="211" customFormat="1" ht="18" customHeight="1">
      <c r="D31" s="403" t="s">
        <v>1354</v>
      </c>
      <c r="E31" s="404" t="s">
        <v>204</v>
      </c>
      <c r="F31" s="426"/>
      <c r="G31" s="426"/>
      <c r="H31" s="404"/>
      <c r="I31" s="404"/>
      <c r="J31" s="404"/>
      <c r="K31" s="404"/>
      <c r="L31" s="524"/>
      <c r="M31" s="405"/>
      <c r="N31" s="405"/>
      <c r="P31" s="425"/>
    </row>
    <row r="32" spans="4:20" s="211" customFormat="1" ht="18" customHeight="1">
      <c r="D32" s="403" t="s">
        <v>362</v>
      </c>
      <c r="E32" s="404" t="s">
        <v>486</v>
      </c>
      <c r="F32" s="426">
        <v>294995310</v>
      </c>
      <c r="G32" s="426"/>
      <c r="H32" s="404"/>
      <c r="I32" s="404"/>
      <c r="J32" s="404">
        <v>20593687255</v>
      </c>
      <c r="K32" s="404"/>
      <c r="L32" s="524"/>
      <c r="M32" s="405"/>
      <c r="N32" s="405"/>
      <c r="P32" s="425"/>
    </row>
    <row r="33" spans="4:16" s="211" customFormat="1" ht="18" customHeight="1">
      <c r="D33" s="403" t="s">
        <v>1356</v>
      </c>
      <c r="E33" s="404" t="s">
        <v>207</v>
      </c>
      <c r="F33" s="426">
        <v>-294995310</v>
      </c>
      <c r="G33" s="426"/>
      <c r="H33" s="404"/>
      <c r="I33" s="404"/>
      <c r="J33" s="404">
        <v>-20593687255</v>
      </c>
      <c r="K33" s="404"/>
      <c r="L33" s="524"/>
      <c r="M33" s="434"/>
      <c r="N33" s="434"/>
      <c r="P33" s="425"/>
    </row>
    <row r="34" spans="4:16" s="211" customFormat="1" ht="18" customHeight="1">
      <c r="D34" s="403" t="s">
        <v>1357</v>
      </c>
      <c r="E34" s="404" t="s">
        <v>209</v>
      </c>
      <c r="F34" s="426">
        <v>294995310</v>
      </c>
      <c r="G34" s="426"/>
      <c r="H34" s="404"/>
      <c r="I34" s="404"/>
      <c r="J34" s="404">
        <v>20593687255</v>
      </c>
      <c r="K34" s="404"/>
      <c r="L34" s="524"/>
      <c r="M34" s="434"/>
      <c r="N34" s="434"/>
      <c r="P34" s="425"/>
    </row>
    <row r="35" spans="4:16" s="211" customFormat="1" ht="18" customHeight="1" thickBot="1">
      <c r="D35" s="435" t="s">
        <v>479</v>
      </c>
      <c r="E35" s="436" t="s">
        <v>422</v>
      </c>
      <c r="F35" s="437">
        <v>-294995310</v>
      </c>
      <c r="G35" s="437"/>
      <c r="H35" s="436"/>
      <c r="I35" s="436"/>
      <c r="J35" s="436">
        <v>-20593687255</v>
      </c>
      <c r="K35" s="436"/>
      <c r="L35" s="796"/>
      <c r="M35" s="438"/>
      <c r="N35" s="438"/>
      <c r="P35" s="439"/>
    </row>
    <row r="36" spans="4:16" ht="18" customHeight="1">
      <c r="D36" s="413"/>
    </row>
    <row r="37" spans="4:16" ht="18" customHeight="1">
      <c r="D37" s="413"/>
    </row>
  </sheetData>
  <autoFilter ref="D5:N16" xr:uid="{00000000-0009-0000-0000-000016000000}"/>
  <phoneticPr fontId="20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>
    <tabColor rgb="FFFFFF00"/>
  </sheetPr>
  <dimension ref="D3:AA37"/>
  <sheetViews>
    <sheetView showGridLines="0" zoomScaleNormal="100" workbookViewId="0">
      <pane xSplit="4" ySplit="6" topLeftCell="G7" activePane="bottomRight" state="frozen"/>
      <selection activeCell="K38" sqref="K38"/>
      <selection pane="topRight" activeCell="K38" sqref="K38"/>
      <selection pane="bottomLeft" activeCell="K38" sqref="K38"/>
      <selection pane="bottomRight" activeCell="S24" sqref="S24"/>
    </sheetView>
  </sheetViews>
  <sheetFormatPr defaultColWidth="8.75" defaultRowHeight="18" customHeight="1" outlineLevelCol="1"/>
  <cols>
    <col min="1" max="3" width="2.375" style="3" customWidth="1"/>
    <col min="4" max="4" width="20.375" style="3" customWidth="1"/>
    <col min="5" max="5" width="26.375" style="3" bestFit="1" customWidth="1"/>
    <col min="6" max="6" width="20.375" style="5" customWidth="1"/>
    <col min="7" max="14" width="13.125" style="5" customWidth="1"/>
    <col min="15" max="17" width="13.125" style="3" customWidth="1"/>
    <col min="18" max="18" width="14.5" style="3" customWidth="1"/>
    <col min="19" max="19" width="14.625" style="3" customWidth="1" outlineLevel="1"/>
    <col min="20" max="23" width="13.125" style="3" customWidth="1" outlineLevel="1"/>
    <col min="24" max="24" width="8.5" style="3" customWidth="1" outlineLevel="1"/>
    <col min="25" max="25" width="10.125" style="3" bestFit="1" customWidth="1"/>
    <col min="26" max="26" width="8.75" style="3"/>
    <col min="27" max="27" width="12.125" style="3" bestFit="1" customWidth="1"/>
    <col min="28" max="16384" width="8.75" style="3"/>
  </cols>
  <sheetData>
    <row r="3" spans="4:27" ht="18" customHeight="1">
      <c r="E3" s="844" t="s">
        <v>2244</v>
      </c>
    </row>
    <row r="4" spans="4:27" s="2" customFormat="1" ht="18" customHeight="1">
      <c r="D4" s="2" t="s">
        <v>429</v>
      </c>
      <c r="E4" s="2" t="s">
        <v>430</v>
      </c>
      <c r="F4" s="4"/>
      <c r="G4" s="4"/>
      <c r="H4" s="4"/>
      <c r="I4" s="4"/>
      <c r="J4" s="5"/>
      <c r="K4" s="4"/>
      <c r="L4" s="4"/>
      <c r="M4" s="4"/>
      <c r="N4" s="4"/>
    </row>
    <row r="5" spans="4:27" s="2" customFormat="1" ht="18" customHeight="1" thickBot="1">
      <c r="D5" s="2" t="s">
        <v>454</v>
      </c>
      <c r="F5" s="4"/>
      <c r="G5" s="4"/>
      <c r="H5" s="4"/>
      <c r="I5" s="4"/>
      <c r="J5" s="5"/>
      <c r="K5" s="4"/>
      <c r="L5" s="4"/>
      <c r="M5" s="4"/>
      <c r="N5" s="4"/>
    </row>
    <row r="6" spans="4:27" s="1" customFormat="1" ht="18" customHeight="1">
      <c r="D6" s="68" t="s">
        <v>393</v>
      </c>
      <c r="E6" s="69" t="s">
        <v>19</v>
      </c>
      <c r="F6" s="69" t="s">
        <v>431</v>
      </c>
      <c r="G6" s="69" t="s">
        <v>432</v>
      </c>
      <c r="H6" s="69" t="s">
        <v>433</v>
      </c>
      <c r="I6" s="69" t="s">
        <v>434</v>
      </c>
      <c r="J6" s="69" t="s">
        <v>435</v>
      </c>
      <c r="K6" s="69" t="s">
        <v>436</v>
      </c>
      <c r="L6" s="69" t="s">
        <v>437</v>
      </c>
      <c r="M6" s="69" t="s">
        <v>438</v>
      </c>
      <c r="N6" s="69" t="s">
        <v>439</v>
      </c>
      <c r="O6" s="69" t="s">
        <v>440</v>
      </c>
      <c r="P6" s="69" t="s">
        <v>441</v>
      </c>
      <c r="Q6" s="69" t="s">
        <v>1984</v>
      </c>
      <c r="R6" s="69" t="s">
        <v>2171</v>
      </c>
      <c r="S6" s="69" t="s">
        <v>444</v>
      </c>
      <c r="T6" s="69" t="s">
        <v>445</v>
      </c>
      <c r="U6" s="69" t="s">
        <v>446</v>
      </c>
      <c r="V6" s="69" t="s">
        <v>447</v>
      </c>
      <c r="W6" s="69" t="s">
        <v>448</v>
      </c>
      <c r="X6" s="70" t="s">
        <v>449</v>
      </c>
    </row>
    <row r="7" spans="4:27" ht="18" customHeight="1">
      <c r="D7" s="71"/>
      <c r="E7" s="72" t="s">
        <v>450</v>
      </c>
      <c r="F7" s="57">
        <v>652725000</v>
      </c>
      <c r="G7" s="57"/>
      <c r="H7" s="57">
        <f>$F$7-H8</f>
        <v>630967500</v>
      </c>
      <c r="I7" s="57">
        <f>$H$7-I8</f>
        <v>614649375</v>
      </c>
      <c r="J7" s="57">
        <f>$H$7-J8-I8</f>
        <v>598331250</v>
      </c>
      <c r="K7" s="57">
        <f>$H$7-K8-I8-J8</f>
        <v>582013125</v>
      </c>
      <c r="L7" s="57">
        <f>$H$7-L8-SUM(I8:K8)</f>
        <v>565695000</v>
      </c>
      <c r="M7" s="57">
        <f>$L$7-M8</f>
        <v>549376875</v>
      </c>
      <c r="N7" s="57">
        <f>$L$7-N8-M8</f>
        <v>533058750</v>
      </c>
      <c r="O7" s="57">
        <f>$L$7-O8-N8-M8</f>
        <v>516740625</v>
      </c>
      <c r="P7" s="57">
        <f>$L$7-P8-M8-N8-O8</f>
        <v>500422500</v>
      </c>
      <c r="Q7" s="57">
        <f>$P$7-Q8</f>
        <v>484104375</v>
      </c>
      <c r="R7" s="57">
        <f>$Q$7-R8</f>
        <v>467786250</v>
      </c>
      <c r="S7" s="57">
        <f>$R$7-S8</f>
        <v>451468125</v>
      </c>
      <c r="T7" s="57">
        <f>$S$7-T8</f>
        <v>435150000</v>
      </c>
      <c r="U7" s="72"/>
      <c r="V7" s="72"/>
      <c r="W7" s="72"/>
      <c r="X7" s="73"/>
      <c r="Y7" s="5"/>
    </row>
    <row r="8" spans="4:27" ht="18" customHeight="1">
      <c r="D8" s="71"/>
      <c r="E8" s="72" t="s">
        <v>451</v>
      </c>
      <c r="F8" s="58"/>
      <c r="G8" s="57">
        <v>120</v>
      </c>
      <c r="H8" s="57">
        <v>21757500</v>
      </c>
      <c r="I8" s="57">
        <f>ROUND($F$7/$G$8*3,0)</f>
        <v>16318125</v>
      </c>
      <c r="J8" s="57">
        <f t="shared" ref="J8:L9" si="0">I8</f>
        <v>16318125</v>
      </c>
      <c r="K8" s="57">
        <f t="shared" si="0"/>
        <v>16318125</v>
      </c>
      <c r="L8" s="57">
        <f t="shared" si="0"/>
        <v>16318125</v>
      </c>
      <c r="M8" s="57">
        <f>I8</f>
        <v>16318125</v>
      </c>
      <c r="N8" s="57">
        <f t="shared" ref="N8:P9" si="1">J8</f>
        <v>16318125</v>
      </c>
      <c r="O8" s="57">
        <f t="shared" si="1"/>
        <v>16318125</v>
      </c>
      <c r="P8" s="57">
        <f t="shared" si="1"/>
        <v>16318125</v>
      </c>
      <c r="Q8" s="57">
        <f>ROUND(+P8/3*3,)</f>
        <v>16318125</v>
      </c>
      <c r="R8" s="57">
        <f>+ROUND(Q8,)</f>
        <v>16318125</v>
      </c>
      <c r="S8" s="57">
        <f>R8</f>
        <v>16318125</v>
      </c>
      <c r="T8" s="57">
        <f>S8</f>
        <v>16318125</v>
      </c>
      <c r="U8" s="57"/>
      <c r="V8" s="57"/>
      <c r="W8" s="57"/>
      <c r="X8" s="74"/>
    </row>
    <row r="9" spans="4:27" ht="18" customHeight="1">
      <c r="D9" s="71"/>
      <c r="E9" s="72" t="s">
        <v>452</v>
      </c>
      <c r="F9" s="58">
        <v>0.34810000000000002</v>
      </c>
      <c r="G9" s="57"/>
      <c r="H9" s="57">
        <v>7573786</v>
      </c>
      <c r="I9" s="57">
        <f>ROUND($F$10/$G$8*3,0)</f>
        <v>5680339</v>
      </c>
      <c r="J9" s="57">
        <f t="shared" si="0"/>
        <v>5680339</v>
      </c>
      <c r="K9" s="57">
        <f t="shared" si="0"/>
        <v>5680339</v>
      </c>
      <c r="L9" s="57">
        <f t="shared" si="0"/>
        <v>5680339</v>
      </c>
      <c r="M9" s="57">
        <f>I9</f>
        <v>5680339</v>
      </c>
      <c r="N9" s="57">
        <f t="shared" si="1"/>
        <v>5680339</v>
      </c>
      <c r="O9" s="57">
        <f t="shared" si="1"/>
        <v>5680339</v>
      </c>
      <c r="P9" s="57">
        <f t="shared" si="1"/>
        <v>5680339</v>
      </c>
      <c r="Q9" s="57">
        <f>ROUND(+P9/3*3,)</f>
        <v>5680339</v>
      </c>
      <c r="R9" s="57">
        <f>+ROUND(Q9,)</f>
        <v>5680339</v>
      </c>
      <c r="S9" s="57">
        <f>R9</f>
        <v>5680339</v>
      </c>
      <c r="T9" s="57">
        <f>S10</f>
        <v>157156058</v>
      </c>
      <c r="U9" s="57"/>
      <c r="V9" s="57"/>
      <c r="W9" s="57"/>
      <c r="X9" s="74"/>
    </row>
    <row r="10" spans="4:27" ht="18" customHeight="1" thickBot="1">
      <c r="D10" s="75"/>
      <c r="E10" s="76" t="s">
        <v>453</v>
      </c>
      <c r="F10" s="77">
        <f>ROUND(F7*F9,0)</f>
        <v>227213573</v>
      </c>
      <c r="G10" s="77"/>
      <c r="H10" s="77">
        <f>$F$10-H9</f>
        <v>219639787</v>
      </c>
      <c r="I10" s="77">
        <f>H10-I9</f>
        <v>213959448</v>
      </c>
      <c r="J10" s="77">
        <f>H10-J9-I9</f>
        <v>208279109</v>
      </c>
      <c r="K10" s="77">
        <f>$H$10-K9-J9-I9</f>
        <v>202598770</v>
      </c>
      <c r="L10" s="77">
        <f>$H$10-L9-K9-J9-I9</f>
        <v>196918431</v>
      </c>
      <c r="M10" s="77">
        <f>L10-M9</f>
        <v>191238092</v>
      </c>
      <c r="N10" s="77">
        <f>L10-N9-M9</f>
        <v>185557753</v>
      </c>
      <c r="O10" s="77">
        <f>L10-O9-M9-N9</f>
        <v>179877414</v>
      </c>
      <c r="P10" s="77">
        <f>L10-SUM(M9:P9)</f>
        <v>174197075</v>
      </c>
      <c r="Q10" s="77">
        <f>P10-Q9</f>
        <v>168516736</v>
      </c>
      <c r="R10" s="77">
        <f>Q10-R9</f>
        <v>162836397</v>
      </c>
      <c r="S10" s="77">
        <f>R10-S9</f>
        <v>157156058</v>
      </c>
      <c r="T10" s="77">
        <f>S10-T9</f>
        <v>0</v>
      </c>
      <c r="U10" s="77"/>
      <c r="V10" s="77"/>
      <c r="W10" s="77"/>
      <c r="X10" s="78"/>
    </row>
    <row r="12" spans="4:27" s="2" customFormat="1" ht="18" customHeight="1" thickBot="1">
      <c r="D12" s="2" t="s">
        <v>455</v>
      </c>
      <c r="F12" s="4"/>
      <c r="G12" s="4"/>
      <c r="H12" s="4"/>
      <c r="I12" s="4"/>
      <c r="J12" s="5"/>
      <c r="K12" s="4"/>
      <c r="L12" s="4"/>
      <c r="M12" s="4"/>
      <c r="N12" s="4"/>
    </row>
    <row r="13" spans="4:27" s="1" customFormat="1" ht="18" customHeight="1">
      <c r="D13" s="79" t="s">
        <v>393</v>
      </c>
      <c r="E13" s="925" t="s">
        <v>19</v>
      </c>
      <c r="F13" s="925" t="s">
        <v>431</v>
      </c>
      <c r="G13" s="925" t="s">
        <v>432</v>
      </c>
      <c r="H13" s="80" t="s">
        <v>433</v>
      </c>
      <c r="I13" s="80" t="s">
        <v>434</v>
      </c>
      <c r="J13" s="80" t="s">
        <v>435</v>
      </c>
      <c r="K13" s="80" t="s">
        <v>436</v>
      </c>
      <c r="L13" s="80" t="s">
        <v>437</v>
      </c>
      <c r="M13" s="80" t="s">
        <v>438</v>
      </c>
      <c r="N13" s="80" t="s">
        <v>439</v>
      </c>
      <c r="O13" s="80" t="s">
        <v>440</v>
      </c>
      <c r="P13" s="80" t="s">
        <v>441</v>
      </c>
      <c r="Q13" s="80" t="str">
        <f>+Q6</f>
        <v>2020 1Q</v>
      </c>
      <c r="R13" s="80" t="str">
        <f>+R6</f>
        <v>2020 2Q</v>
      </c>
      <c r="S13" s="80" t="s">
        <v>444</v>
      </c>
      <c r="T13" s="80" t="s">
        <v>445</v>
      </c>
      <c r="U13" s="80" t="s">
        <v>446</v>
      </c>
      <c r="V13" s="80" t="s">
        <v>447</v>
      </c>
      <c r="W13" s="80" t="s">
        <v>448</v>
      </c>
      <c r="X13" s="81" t="s">
        <v>449</v>
      </c>
    </row>
    <row r="14" spans="4:27" s="1" customFormat="1" ht="18" customHeight="1">
      <c r="D14" s="82" t="s">
        <v>456</v>
      </c>
      <c r="E14" s="926"/>
      <c r="F14" s="926"/>
      <c r="G14" s="926"/>
      <c r="H14" s="83">
        <v>9.4910999999999994</v>
      </c>
      <c r="I14" s="83">
        <v>10.0146</v>
      </c>
      <c r="J14" s="83">
        <v>10.1479</v>
      </c>
      <c r="K14" s="83">
        <v>9.8117000000000001</v>
      </c>
      <c r="L14" s="83">
        <v>10.1318</v>
      </c>
      <c r="M14" s="83">
        <v>10.282400000000001</v>
      </c>
      <c r="N14" s="83">
        <v>10.733499999999999</v>
      </c>
      <c r="O14" s="83">
        <v>11.134</v>
      </c>
      <c r="P14" s="83">
        <v>10.6347</v>
      </c>
      <c r="Q14" s="83">
        <v>11.308299999999999</v>
      </c>
      <c r="R14" s="83">
        <v>11.160500000000001</v>
      </c>
      <c r="S14" s="835">
        <v>11.1206</v>
      </c>
      <c r="T14" s="822">
        <f>'4.0'!S39</f>
        <v>10.5426</v>
      </c>
      <c r="U14" s="84"/>
      <c r="V14" s="84"/>
      <c r="W14" s="84"/>
      <c r="X14" s="85"/>
    </row>
    <row r="15" spans="4:27" s="1" customFormat="1" ht="18" customHeight="1">
      <c r="D15" s="82" t="s">
        <v>2046</v>
      </c>
      <c r="E15" s="927"/>
      <c r="F15" s="927"/>
      <c r="G15" s="927"/>
      <c r="H15" s="83">
        <v>9.9062999999999999</v>
      </c>
      <c r="I15" s="83">
        <v>9.8903999999999996</v>
      </c>
      <c r="J15" s="83">
        <v>9.8918999999999997</v>
      </c>
      <c r="K15" s="83">
        <v>9.952</v>
      </c>
      <c r="L15" s="83">
        <v>9.9626999999999999</v>
      </c>
      <c r="M15" s="83">
        <v>10.219900000000001</v>
      </c>
      <c r="N15" s="83">
        <v>10.416499999999999</v>
      </c>
      <c r="O15" s="83">
        <v>10.6576</v>
      </c>
      <c r="P15" s="83">
        <v>10.6976</v>
      </c>
      <c r="Q15" s="83">
        <v>10.9626</v>
      </c>
      <c r="R15" s="83">
        <v>11.1532</v>
      </c>
      <c r="S15" s="835">
        <v>11.167199999999999</v>
      </c>
      <c r="T15" s="822">
        <f>'4.0'!S40</f>
        <v>11.050700000000001</v>
      </c>
      <c r="U15" s="84"/>
      <c r="V15" s="84"/>
      <c r="W15" s="84"/>
      <c r="X15" s="85"/>
    </row>
    <row r="16" spans="4:27" ht="18" customHeight="1">
      <c r="D16" s="86" t="s">
        <v>487</v>
      </c>
      <c r="E16" s="87" t="s">
        <v>2047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422"/>
      <c r="R16" s="422">
        <f>ROUND($F$7*R14,)</f>
        <v>7284737363</v>
      </c>
      <c r="S16" s="422">
        <f>ROUND($F$7*S14,)</f>
        <v>7258693635</v>
      </c>
      <c r="T16" s="422">
        <f>ROUND($F$7*T14,)</f>
        <v>6881418585</v>
      </c>
      <c r="U16" s="87"/>
      <c r="V16" s="87"/>
      <c r="W16" s="87"/>
      <c r="X16" s="88"/>
      <c r="Z16" s="707"/>
      <c r="AA16" s="707"/>
    </row>
    <row r="17" spans="4:27" ht="18" customHeight="1">
      <c r="D17" s="86" t="s">
        <v>2049</v>
      </c>
      <c r="E17" s="87" t="s">
        <v>2051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422"/>
      <c r="R17" s="422">
        <f>+R18-R16</f>
        <v>-2064008920</v>
      </c>
      <c r="S17" s="422">
        <f>+S18-S16</f>
        <v>-2238097204</v>
      </c>
      <c r="T17" s="422">
        <f>+T18-T16</f>
        <v>-2293806195</v>
      </c>
      <c r="U17" s="87"/>
      <c r="V17" s="87"/>
      <c r="W17" s="87"/>
      <c r="X17" s="88"/>
      <c r="Z17" s="707"/>
      <c r="AA17" s="707"/>
    </row>
    <row r="18" spans="4:27" ht="18" customHeight="1">
      <c r="D18" s="86">
        <v>10020617</v>
      </c>
      <c r="E18" s="87" t="s">
        <v>450</v>
      </c>
      <c r="F18" s="52">
        <v>6676985115</v>
      </c>
      <c r="G18" s="52"/>
      <c r="H18" s="52">
        <f t="shared" ref="H18:K19" si="2">ROUND(H7*H14,0)</f>
        <v>5988575639</v>
      </c>
      <c r="I18" s="52">
        <f t="shared" si="2"/>
        <v>6155467631</v>
      </c>
      <c r="J18" s="52">
        <f t="shared" si="2"/>
        <v>6071805692</v>
      </c>
      <c r="K18" s="52">
        <f t="shared" si="2"/>
        <v>5710538179</v>
      </c>
      <c r="L18" s="52">
        <f t="shared" ref="L18:Q18" si="3">ROUND(L7*L14,0)</f>
        <v>5731508601</v>
      </c>
      <c r="M18" s="52">
        <f t="shared" si="3"/>
        <v>5648912780</v>
      </c>
      <c r="N18" s="52">
        <f t="shared" si="3"/>
        <v>5721586093</v>
      </c>
      <c r="O18" s="52">
        <f t="shared" si="3"/>
        <v>5753390119</v>
      </c>
      <c r="P18" s="52">
        <f t="shared" si="3"/>
        <v>5321843161</v>
      </c>
      <c r="Q18" s="422">
        <f t="shared" si="3"/>
        <v>5474397504</v>
      </c>
      <c r="R18" s="422">
        <f>ROUND(R7*R14,0)</f>
        <v>5220728443</v>
      </c>
      <c r="S18" s="422">
        <f>ROUND(S7*S14,0)</f>
        <v>5020596431</v>
      </c>
      <c r="T18" s="422">
        <f>ROUND(T7*T14,0)</f>
        <v>4587612390</v>
      </c>
      <c r="U18" s="87"/>
      <c r="V18" s="87"/>
      <c r="W18" s="87"/>
      <c r="X18" s="88"/>
      <c r="Z18" s="707"/>
      <c r="AA18" s="707">
        <v>540540000</v>
      </c>
    </row>
    <row r="19" spans="4:27" ht="18" customHeight="1">
      <c r="D19" s="86">
        <v>40040114</v>
      </c>
      <c r="E19" s="87" t="s">
        <v>451</v>
      </c>
      <c r="F19" s="89"/>
      <c r="G19" s="52">
        <v>120</v>
      </c>
      <c r="H19" s="52">
        <f t="shared" si="2"/>
        <v>215536322</v>
      </c>
      <c r="I19" s="52">
        <f t="shared" si="2"/>
        <v>161392784</v>
      </c>
      <c r="J19" s="52">
        <f t="shared" si="2"/>
        <v>161417261</v>
      </c>
      <c r="K19" s="52">
        <f t="shared" si="2"/>
        <v>162397980</v>
      </c>
      <c r="L19" s="52">
        <f t="shared" ref="L19:Q19" si="4">ROUND(L8*L15,0)</f>
        <v>162572584</v>
      </c>
      <c r="M19" s="52">
        <f t="shared" si="4"/>
        <v>166769606</v>
      </c>
      <c r="N19" s="52">
        <f t="shared" si="4"/>
        <v>169977749</v>
      </c>
      <c r="O19" s="52">
        <f t="shared" si="4"/>
        <v>173912049</v>
      </c>
      <c r="P19" s="52">
        <f t="shared" si="4"/>
        <v>174564774</v>
      </c>
      <c r="Q19" s="422">
        <f t="shared" si="4"/>
        <v>178889077</v>
      </c>
      <c r="R19" s="422">
        <f>ROUND((R8+Q8)*R$15-Q19,0)</f>
        <v>185109547</v>
      </c>
      <c r="S19" s="422">
        <f>ROUND((S8+R8+Q8)*S$15-R19-Q19,0)</f>
        <v>182684673</v>
      </c>
      <c r="T19" s="422">
        <f>ROUND((T8+S8+R8)*T$15-S19-R19,0)</f>
        <v>173185892</v>
      </c>
      <c r="U19" s="52"/>
      <c r="V19" s="52"/>
      <c r="W19" s="52"/>
      <c r="X19" s="53"/>
      <c r="AA19" s="5">
        <f>P18-L18</f>
        <v>-409665440</v>
      </c>
    </row>
    <row r="20" spans="4:27" ht="18" customHeight="1">
      <c r="D20" s="86">
        <v>40080101</v>
      </c>
      <c r="E20" s="87" t="s">
        <v>452</v>
      </c>
      <c r="F20" s="89">
        <v>0.34810000000000002</v>
      </c>
      <c r="G20" s="52"/>
      <c r="H20" s="52">
        <f t="shared" ref="H20:Q20" si="5">ROUND(H9*H15,0)</f>
        <v>75028196</v>
      </c>
      <c r="I20" s="52">
        <f t="shared" si="5"/>
        <v>56180825</v>
      </c>
      <c r="J20" s="52">
        <f t="shared" si="5"/>
        <v>56189345</v>
      </c>
      <c r="K20" s="52">
        <f t="shared" si="5"/>
        <v>56530734</v>
      </c>
      <c r="L20" s="52">
        <f t="shared" si="5"/>
        <v>56591513</v>
      </c>
      <c r="M20" s="52">
        <f t="shared" si="5"/>
        <v>58052497</v>
      </c>
      <c r="N20" s="52">
        <f t="shared" si="5"/>
        <v>59169251</v>
      </c>
      <c r="O20" s="52">
        <f t="shared" si="5"/>
        <v>60538781</v>
      </c>
      <c r="P20" s="52">
        <f t="shared" si="5"/>
        <v>60765994</v>
      </c>
      <c r="Q20" s="422">
        <f t="shared" si="5"/>
        <v>62271284</v>
      </c>
      <c r="R20" s="422">
        <f>ROUND((R9+Q9)*R$15-Q20,0)</f>
        <v>64436630</v>
      </c>
      <c r="S20" s="422">
        <f>ROUND((S9+R9+Q9)*S$15-R20-Q20,0)</f>
        <v>63592531</v>
      </c>
      <c r="T20" s="422">
        <f>ROUND((T9+S9+R9)*T$15-S20-R20,0)</f>
        <v>1734198734</v>
      </c>
      <c r="U20" s="52"/>
      <c r="V20" s="52"/>
      <c r="W20" s="52"/>
      <c r="X20" s="53"/>
    </row>
    <row r="21" spans="4:27" ht="18" customHeight="1">
      <c r="D21" s="86">
        <v>20020501</v>
      </c>
      <c r="E21" s="87" t="s">
        <v>453</v>
      </c>
      <c r="F21" s="52">
        <v>2324258519</v>
      </c>
      <c r="G21" s="52"/>
      <c r="H21" s="52">
        <f t="shared" ref="H21:R21" si="6">ROUND(H10*H14,0)</f>
        <v>2084623182</v>
      </c>
      <c r="I21" s="52">
        <f t="shared" si="6"/>
        <v>2142718288</v>
      </c>
      <c r="J21" s="52">
        <f t="shared" si="6"/>
        <v>2113595570</v>
      </c>
      <c r="K21" s="52">
        <f t="shared" si="6"/>
        <v>1987838352</v>
      </c>
      <c r="L21" s="52">
        <f t="shared" si="6"/>
        <v>1995138159</v>
      </c>
      <c r="M21" s="52">
        <f t="shared" si="6"/>
        <v>1966386557</v>
      </c>
      <c r="N21" s="52">
        <f t="shared" si="6"/>
        <v>1991684142</v>
      </c>
      <c r="O21" s="52">
        <f t="shared" si="6"/>
        <v>2002755127</v>
      </c>
      <c r="P21" s="52">
        <f t="shared" si="6"/>
        <v>1852533634</v>
      </c>
      <c r="Q21" s="422">
        <f t="shared" si="6"/>
        <v>1905637806</v>
      </c>
      <c r="R21" s="422">
        <f t="shared" si="6"/>
        <v>1817335609</v>
      </c>
      <c r="S21" s="422">
        <f>ROUND(S10*S14,0)</f>
        <v>1747669659</v>
      </c>
      <c r="T21" s="422">
        <f>ROUND(T10*T14,0)</f>
        <v>0</v>
      </c>
      <c r="U21" s="52"/>
      <c r="V21" s="52"/>
      <c r="W21" s="52"/>
      <c r="X21" s="53"/>
    </row>
    <row r="22" spans="4:27" ht="18" customHeight="1" thickBot="1">
      <c r="D22" s="90" t="s">
        <v>203</v>
      </c>
      <c r="E22" s="91" t="s">
        <v>204</v>
      </c>
      <c r="F22" s="55"/>
      <c r="G22" s="55"/>
      <c r="H22" s="55">
        <f>SUM(H18:H19)-F18+F21-H21-H20</f>
        <v>-308266013</v>
      </c>
      <c r="I22" s="55">
        <f t="shared" ref="I22:S22" si="7">SUM(I18:I19)-H18+H21-I21-I20</f>
        <v>214008845</v>
      </c>
      <c r="J22" s="55">
        <f t="shared" si="7"/>
        <v>50688695</v>
      </c>
      <c r="K22" s="55">
        <f t="shared" si="7"/>
        <v>-129643049</v>
      </c>
      <c r="L22" s="55">
        <f t="shared" si="7"/>
        <v>119651686</v>
      </c>
      <c r="M22" s="55">
        <f t="shared" si="7"/>
        <v>54872890</v>
      </c>
      <c r="N22" s="55">
        <f t="shared" si="7"/>
        <v>158184226</v>
      </c>
      <c r="O22" s="55">
        <f t="shared" si="7"/>
        <v>134106309</v>
      </c>
      <c r="P22" s="55">
        <f t="shared" si="7"/>
        <v>-167526685</v>
      </c>
      <c r="Q22" s="423">
        <f t="shared" si="7"/>
        <v>216067964</v>
      </c>
      <c r="R22" s="423">
        <f t="shared" si="7"/>
        <v>-44693947</v>
      </c>
      <c r="S22" s="423">
        <f t="shared" si="7"/>
        <v>-11373920</v>
      </c>
      <c r="T22" s="848">
        <f>SUM(T18:T19)-S18+S21-T21-T20+T23+T24</f>
        <v>-25227509</v>
      </c>
      <c r="U22" s="91"/>
      <c r="V22" s="91"/>
      <c r="W22" s="91"/>
      <c r="X22" s="92"/>
    </row>
    <row r="23" spans="4:27" ht="18" customHeight="1">
      <c r="D23" s="566" t="s">
        <v>2245</v>
      </c>
      <c r="E23" s="854" t="s">
        <v>1969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46"/>
      <c r="R23" s="846"/>
      <c r="S23" s="846"/>
      <c r="T23" s="855">
        <f>ROUND(T7*T15,)</f>
        <v>4808712105</v>
      </c>
      <c r="U23" s="847"/>
      <c r="V23" s="6"/>
      <c r="W23" s="6"/>
      <c r="X23" s="6"/>
    </row>
    <row r="24" spans="4:27" ht="18" customHeight="1">
      <c r="D24" s="40"/>
      <c r="E24" s="853" t="s">
        <v>2281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46"/>
      <c r="R24" s="846"/>
      <c r="S24" s="846"/>
      <c r="T24" s="855">
        <f>-ROUND(T7*T14,)</f>
        <v>-4587612390</v>
      </c>
      <c r="U24" s="847"/>
      <c r="V24" s="6"/>
      <c r="W24" s="6"/>
      <c r="X24" s="6"/>
    </row>
    <row r="25" spans="4:27" s="1" customFormat="1" ht="18" hidden="1" customHeight="1">
      <c r="D25" s="82" t="s">
        <v>2031</v>
      </c>
      <c r="E25" s="3"/>
      <c r="F25" s="5"/>
      <c r="G25" s="5"/>
      <c r="H25" s="83">
        <v>9.9062999999999999</v>
      </c>
      <c r="I25" s="83">
        <v>9.8903999999999996</v>
      </c>
      <c r="J25" s="83">
        <v>9.8918999999999997</v>
      </c>
      <c r="K25" s="83">
        <v>9.952</v>
      </c>
      <c r="L25" s="83">
        <v>9.9626999999999999</v>
      </c>
      <c r="M25" s="83">
        <v>10.219900000000001</v>
      </c>
      <c r="N25" s="83">
        <v>10.416499999999999</v>
      </c>
      <c r="O25" s="83">
        <v>10.6576</v>
      </c>
      <c r="P25" s="83">
        <v>10.6976</v>
      </c>
      <c r="Q25" s="83">
        <v>10.9626</v>
      </c>
      <c r="R25" s="83">
        <v>11.132899999999999</v>
      </c>
      <c r="S25" s="84"/>
      <c r="T25" s="845"/>
      <c r="U25" s="84"/>
      <c r="V25" s="84"/>
      <c r="W25" s="84"/>
      <c r="X25" s="85"/>
    </row>
    <row r="26" spans="4:27" ht="18" hidden="1" customHeight="1">
      <c r="D26" s="24"/>
    </row>
    <row r="27" spans="4:27" ht="18" hidden="1" customHeight="1">
      <c r="D27" s="24"/>
      <c r="H27" s="52">
        <f>ROUND(+H$25*H8,)</f>
        <v>215536322</v>
      </c>
      <c r="I27" s="52">
        <f>ROUND(+I$25*I8,)</f>
        <v>161392784</v>
      </c>
      <c r="J27" s="52">
        <f>ROUND(+J$25*SUM($I8:J8)-SUM($I27:I27),)</f>
        <v>161441737</v>
      </c>
      <c r="K27" s="52">
        <f>ROUND(+K$25*SUM($I8:K8)-SUM($I27:J27),)</f>
        <v>164359419</v>
      </c>
      <c r="L27" s="52">
        <f>ROUND(+L$25*SUM($I8:L8)-SUM($I27:K27),)</f>
        <v>163096396</v>
      </c>
      <c r="M27" s="52">
        <f>ROUND(+M$25*M8,)</f>
        <v>166769606</v>
      </c>
      <c r="N27" s="52">
        <f>ROUND(+N$25*SUM($M8:N8)-SUM($M27:M27),)</f>
        <v>173185892</v>
      </c>
      <c r="O27" s="52">
        <f>ROUND(+O$25*SUM($M8:O8)-SUM($M27:N27),)</f>
        <v>181780649</v>
      </c>
      <c r="P27" s="52">
        <f>ROUND(+P$25*SUM($M8:P8)-SUM($M27:O27),)</f>
        <v>176522949</v>
      </c>
      <c r="Q27" s="52">
        <f>ROUND(+Q$25*Q8,)</f>
        <v>178889077</v>
      </c>
      <c r="R27" s="52">
        <f>ROUND(+R$25*SUM($Q8:R8)-SUM($Q27:Q27),)</f>
        <v>184447031</v>
      </c>
      <c r="S27" s="52">
        <f>ROUND(+S$25*SUM($Q8:S8)-SUM($Q27:R27),)</f>
        <v>-363336108</v>
      </c>
      <c r="T27" s="52">
        <f>ROUND(+T$25*SUM($Q8:T8)-SUM($Q27:S27),)</f>
        <v>0</v>
      </c>
      <c r="U27" s="52"/>
      <c r="V27" s="52"/>
      <c r="W27" s="52"/>
      <c r="X27" s="52"/>
    </row>
    <row r="28" spans="4:27" ht="18" hidden="1" customHeight="1">
      <c r="D28" s="24"/>
      <c r="H28" s="52">
        <f>ROUND(+H$25*H9,)</f>
        <v>75028196</v>
      </c>
      <c r="I28" s="52">
        <f>ROUND(+I$25*I9,)</f>
        <v>56180825</v>
      </c>
      <c r="J28" s="52">
        <f>ROUND(+J$25*SUM($I9:J9)-SUM($I28:I28),)</f>
        <v>56197866</v>
      </c>
      <c r="K28" s="52">
        <f>ROUND(+K$25*SUM($I9:K9)-SUM($I28:J28),)</f>
        <v>57213510</v>
      </c>
      <c r="L28" s="52">
        <f>ROUND(+L$25*SUM($I9:L9)-SUM($I28:K28),)</f>
        <v>56773852</v>
      </c>
      <c r="M28" s="52">
        <f>ROUND(+M$25*M9,)</f>
        <v>58052497</v>
      </c>
      <c r="N28" s="52">
        <f>ROUND(+N$25*SUM($M9:N9)-SUM($M28:M28),)</f>
        <v>60286005</v>
      </c>
      <c r="O28" s="52">
        <f>ROUND(+O$25*SUM($M9:O9)-SUM($M28:N28),)</f>
        <v>63277841</v>
      </c>
      <c r="P28" s="52">
        <f>ROUND(+P$25*SUM($M9:P9)-SUM($M28:O28),)</f>
        <v>61447635</v>
      </c>
      <c r="Q28" s="52">
        <f>ROUND(+Q$25*Q9,)</f>
        <v>62271284</v>
      </c>
      <c r="R28" s="52">
        <f>ROUND(+R$25*SUM($Q9:R9)-SUM($Q28:Q28),)</f>
        <v>64206008</v>
      </c>
      <c r="S28" s="52">
        <f>ROUND(+S$25*SUM($Q9:S9)-SUM($Q28:R28),)</f>
        <v>-126477292</v>
      </c>
      <c r="T28" s="52">
        <f>ROUND(+T$25*SUM($Q9:T9)-SUM($Q28:S28),)</f>
        <v>0</v>
      </c>
      <c r="U28" s="52"/>
      <c r="V28" s="52"/>
      <c r="W28" s="52"/>
      <c r="X28" s="52"/>
    </row>
    <row r="29" spans="4:27" ht="18" hidden="1" customHeight="1">
      <c r="D29" s="24"/>
      <c r="Q29" s="710"/>
      <c r="R29" s="710"/>
    </row>
    <row r="30" spans="4:27" ht="18" hidden="1" customHeight="1">
      <c r="D30" s="24"/>
      <c r="P30" s="5"/>
      <c r="R30" s="710"/>
    </row>
    <row r="31" spans="4:27" ht="18" hidden="1" customHeight="1">
      <c r="P31" s="5"/>
      <c r="R31" s="710"/>
    </row>
    <row r="32" spans="4:27" ht="18" customHeight="1">
      <c r="P32" s="707"/>
      <c r="R32" s="710"/>
      <c r="S32" s="710"/>
      <c r="T32" s="710"/>
      <c r="V32" s="710"/>
    </row>
    <row r="33" spans="18:21" ht="18" customHeight="1">
      <c r="R33" s="710"/>
      <c r="T33" s="5"/>
      <c r="U33" s="707"/>
    </row>
    <row r="34" spans="18:21" ht="18" customHeight="1">
      <c r="R34" s="710"/>
    </row>
    <row r="35" spans="18:21" ht="18" customHeight="1">
      <c r="R35" s="710"/>
    </row>
    <row r="36" spans="18:21" ht="18" customHeight="1">
      <c r="R36" s="710"/>
    </row>
    <row r="37" spans="18:21" ht="18" customHeight="1">
      <c r="R37" s="710"/>
    </row>
  </sheetData>
  <mergeCells count="3">
    <mergeCell ref="E13:E15"/>
    <mergeCell ref="F13:F15"/>
    <mergeCell ref="G13:G15"/>
  </mergeCells>
  <phoneticPr fontId="20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D4:X29"/>
  <sheetViews>
    <sheetView workbookViewId="0">
      <pane xSplit="5" ySplit="8" topLeftCell="F9" activePane="bottomRight" state="frozen"/>
      <selection pane="topRight" activeCell="F1" sqref="F1"/>
      <selection pane="bottomLeft" activeCell="A7" sqref="A7"/>
      <selection pane="bottomRight" activeCell="H28" sqref="H28"/>
    </sheetView>
  </sheetViews>
  <sheetFormatPr defaultColWidth="8.75" defaultRowHeight="18" customHeight="1"/>
  <cols>
    <col min="1" max="3" width="2.375" style="3" customWidth="1"/>
    <col min="4" max="4" width="20.375" style="3" customWidth="1"/>
    <col min="5" max="5" width="26.375" style="3" bestFit="1" customWidth="1"/>
    <col min="6" max="6" width="20.375" style="5" customWidth="1"/>
    <col min="7" max="14" width="13.125" style="5" customWidth="1"/>
    <col min="15" max="24" width="13.125" style="3" customWidth="1"/>
    <col min="25" max="16384" width="8.75" style="3"/>
  </cols>
  <sheetData>
    <row r="4" spans="4:24" s="2" customFormat="1" ht="18" customHeight="1">
      <c r="D4" s="2" t="s">
        <v>429</v>
      </c>
      <c r="E4" s="2" t="s">
        <v>430</v>
      </c>
      <c r="F4" s="4"/>
      <c r="G4" s="4"/>
      <c r="H4" s="4"/>
      <c r="I4" s="4"/>
      <c r="J4" s="5"/>
      <c r="K4" s="4"/>
      <c r="L4" s="4"/>
      <c r="M4" s="4"/>
      <c r="N4" s="4"/>
    </row>
    <row r="5" spans="4:24" s="2" customFormat="1" ht="18" customHeight="1">
      <c r="D5" s="2" t="s">
        <v>1657</v>
      </c>
      <c r="F5" s="4"/>
      <c r="G5" s="4"/>
      <c r="H5" s="4"/>
      <c r="I5" s="4"/>
      <c r="J5" s="5"/>
      <c r="K5" s="4"/>
      <c r="L5" s="4"/>
      <c r="M5" s="4"/>
      <c r="N5" s="4"/>
    </row>
    <row r="6" spans="4:24" s="2" customFormat="1" ht="18" customHeight="1">
      <c r="F6" s="4"/>
      <c r="G6" s="4"/>
      <c r="H6" s="4"/>
      <c r="I6" s="4"/>
      <c r="J6" s="5"/>
      <c r="K6" s="4"/>
      <c r="L6" s="4"/>
      <c r="M6" s="4"/>
      <c r="N6" s="4"/>
    </row>
    <row r="7" spans="4:24" s="2" customFormat="1" ht="18" customHeight="1" thickBot="1">
      <c r="D7" s="2" t="s">
        <v>454</v>
      </c>
      <c r="F7" s="4"/>
      <c r="G7" s="4"/>
      <c r="H7" s="4"/>
      <c r="I7" s="4"/>
      <c r="J7" s="5"/>
      <c r="K7" s="4"/>
      <c r="L7" s="4"/>
      <c r="M7" s="4"/>
      <c r="N7" s="4"/>
    </row>
    <row r="8" spans="4:24" s="1" customFormat="1" ht="18" customHeight="1">
      <c r="D8" s="68" t="s">
        <v>393</v>
      </c>
      <c r="E8" s="69" t="s">
        <v>19</v>
      </c>
      <c r="F8" s="69" t="s">
        <v>431</v>
      </c>
      <c r="G8" s="69" t="s">
        <v>432</v>
      </c>
      <c r="H8" s="69" t="s">
        <v>433</v>
      </c>
      <c r="I8" s="69" t="s">
        <v>434</v>
      </c>
      <c r="J8" s="69" t="s">
        <v>435</v>
      </c>
      <c r="K8" s="69" t="s">
        <v>436</v>
      </c>
      <c r="L8" s="69" t="s">
        <v>437</v>
      </c>
      <c r="M8" s="69" t="s">
        <v>438</v>
      </c>
      <c r="N8" s="69" t="s">
        <v>439</v>
      </c>
      <c r="O8" s="69" t="s">
        <v>440</v>
      </c>
      <c r="P8" s="69" t="s">
        <v>441</v>
      </c>
      <c r="Q8" s="69" t="s">
        <v>442</v>
      </c>
      <c r="R8" s="69" t="s">
        <v>443</v>
      </c>
      <c r="S8" s="69" t="s">
        <v>444</v>
      </c>
      <c r="T8" s="69" t="s">
        <v>445</v>
      </c>
      <c r="U8" s="69" t="s">
        <v>446</v>
      </c>
      <c r="V8" s="69" t="s">
        <v>447</v>
      </c>
      <c r="W8" s="69" t="s">
        <v>448</v>
      </c>
      <c r="X8" s="70" t="s">
        <v>449</v>
      </c>
    </row>
    <row r="9" spans="4:24" ht="18" customHeight="1">
      <c r="D9" s="71"/>
      <c r="E9" s="72" t="s">
        <v>450</v>
      </c>
      <c r="F9" s="57">
        <v>652725000</v>
      </c>
      <c r="G9" s="57"/>
      <c r="H9" s="57">
        <f>$F$9-H10</f>
        <v>630967500</v>
      </c>
      <c r="I9" s="57">
        <f>$H$9-I10</f>
        <v>614649375</v>
      </c>
      <c r="J9" s="57">
        <f>$H$9-J10-I10</f>
        <v>598331250</v>
      </c>
      <c r="K9" s="57">
        <f>$H$9-K10-I10-J10</f>
        <v>582013125</v>
      </c>
      <c r="L9" s="57">
        <f>$H$9-L10-SUM(I10:K10)</f>
        <v>565695000</v>
      </c>
      <c r="M9" s="57">
        <f>$L$9-M10</f>
        <v>549376875</v>
      </c>
      <c r="N9" s="57">
        <f>$L$9-N10-M10</f>
        <v>533058750</v>
      </c>
      <c r="O9" s="57">
        <f>$L$9-O10-N10-M10</f>
        <v>516740625</v>
      </c>
      <c r="P9" s="57">
        <f>$L$9-P10-M10-N10-O10</f>
        <v>500422500</v>
      </c>
      <c r="Q9" s="72"/>
      <c r="R9" s="72"/>
      <c r="S9" s="72"/>
      <c r="T9" s="72"/>
      <c r="U9" s="72"/>
      <c r="V9" s="72"/>
      <c r="W9" s="72"/>
      <c r="X9" s="73"/>
    </row>
    <row r="10" spans="4:24" ht="18" customHeight="1">
      <c r="D10" s="71"/>
      <c r="E10" s="72" t="s">
        <v>451</v>
      </c>
      <c r="F10" s="58"/>
      <c r="G10" s="57">
        <v>120</v>
      </c>
      <c r="H10" s="57">
        <v>21757500</v>
      </c>
      <c r="I10" s="57">
        <f>ROUND($F$9/$G$10*3,0)</f>
        <v>16318125</v>
      </c>
      <c r="J10" s="57">
        <f t="shared" ref="J10:L11" si="0">I10</f>
        <v>16318125</v>
      </c>
      <c r="K10" s="57">
        <f t="shared" si="0"/>
        <v>16318125</v>
      </c>
      <c r="L10" s="57">
        <f t="shared" si="0"/>
        <v>16318125</v>
      </c>
      <c r="M10" s="57">
        <f>I10</f>
        <v>16318125</v>
      </c>
      <c r="N10" s="57">
        <f t="shared" ref="N10:P11" si="1">J10</f>
        <v>16318125</v>
      </c>
      <c r="O10" s="57">
        <f t="shared" si="1"/>
        <v>16318125</v>
      </c>
      <c r="P10" s="57">
        <f t="shared" si="1"/>
        <v>16318125</v>
      </c>
      <c r="Q10" s="57"/>
      <c r="R10" s="57"/>
      <c r="S10" s="57"/>
      <c r="T10" s="57"/>
      <c r="U10" s="57"/>
      <c r="V10" s="57"/>
      <c r="W10" s="57"/>
      <c r="X10" s="74"/>
    </row>
    <row r="11" spans="4:24" ht="18" customHeight="1">
      <c r="D11" s="71"/>
      <c r="E11" s="72" t="s">
        <v>452</v>
      </c>
      <c r="F11" s="58">
        <v>0.34810000000000002</v>
      </c>
      <c r="G11" s="57"/>
      <c r="H11" s="57">
        <v>7573786</v>
      </c>
      <c r="I11" s="57">
        <f>ROUND($F$12/$G$10*3,0)</f>
        <v>5680339</v>
      </c>
      <c r="J11" s="57">
        <f t="shared" si="0"/>
        <v>5680339</v>
      </c>
      <c r="K11" s="57">
        <f t="shared" si="0"/>
        <v>5680339</v>
      </c>
      <c r="L11" s="57">
        <f t="shared" si="0"/>
        <v>5680339</v>
      </c>
      <c r="M11" s="57">
        <f>I11</f>
        <v>5680339</v>
      </c>
      <c r="N11" s="57">
        <f t="shared" si="1"/>
        <v>5680339</v>
      </c>
      <c r="O11" s="57">
        <f t="shared" si="1"/>
        <v>5680339</v>
      </c>
      <c r="P11" s="57">
        <f t="shared" si="1"/>
        <v>5680339</v>
      </c>
      <c r="Q11" s="57"/>
      <c r="R11" s="57"/>
      <c r="S11" s="57"/>
      <c r="T11" s="57"/>
      <c r="U11" s="57"/>
      <c r="V11" s="57"/>
      <c r="W11" s="57"/>
      <c r="X11" s="74"/>
    </row>
    <row r="12" spans="4:24" ht="18" customHeight="1" thickBot="1">
      <c r="D12" s="75"/>
      <c r="E12" s="76" t="s">
        <v>453</v>
      </c>
      <c r="F12" s="77">
        <f>ROUND(F9*F11,0)</f>
        <v>227213573</v>
      </c>
      <c r="G12" s="77"/>
      <c r="H12" s="77">
        <f>$F$12-H11</f>
        <v>219639787</v>
      </c>
      <c r="I12" s="77">
        <f>H12-I11</f>
        <v>213959448</v>
      </c>
      <c r="J12" s="77">
        <f>H12-J11-I11</f>
        <v>208279109</v>
      </c>
      <c r="K12" s="77">
        <f>$H$12-K11-J11-I11</f>
        <v>202598770</v>
      </c>
      <c r="L12" s="77">
        <f>$H$12-L11-K11-J11-I11</f>
        <v>196918431</v>
      </c>
      <c r="M12" s="77">
        <f>L12-M11</f>
        <v>191238092</v>
      </c>
      <c r="N12" s="77">
        <f>L12-N11-M11</f>
        <v>185557753</v>
      </c>
      <c r="O12" s="77">
        <f>L12-O11-M11-N11</f>
        <v>179877414</v>
      </c>
      <c r="P12" s="77">
        <f>L12-P11-SUM(M11:O11)</f>
        <v>174197075</v>
      </c>
      <c r="Q12" s="77"/>
      <c r="R12" s="77"/>
      <c r="S12" s="77"/>
      <c r="T12" s="77"/>
      <c r="U12" s="77"/>
      <c r="V12" s="77"/>
      <c r="W12" s="77"/>
      <c r="X12" s="78"/>
    </row>
    <row r="13" spans="4:24" ht="18" customHeight="1">
      <c r="H13" s="113"/>
    </row>
    <row r="14" spans="4:24" s="2" customFormat="1" ht="18" customHeight="1" thickBot="1">
      <c r="D14" s="2" t="s">
        <v>455</v>
      </c>
      <c r="F14" s="4"/>
      <c r="G14" s="4"/>
      <c r="H14" s="4"/>
      <c r="I14" s="4"/>
      <c r="J14" s="5"/>
      <c r="K14" s="4"/>
      <c r="L14" s="4"/>
      <c r="M14" s="4" t="s">
        <v>1656</v>
      </c>
      <c r="N14" s="4"/>
    </row>
    <row r="15" spans="4:24" s="1" customFormat="1" ht="18" customHeight="1">
      <c r="D15" s="79" t="s">
        <v>393</v>
      </c>
      <c r="E15" s="925" t="s">
        <v>19</v>
      </c>
      <c r="F15" s="925" t="s">
        <v>431</v>
      </c>
      <c r="G15" s="925" t="s">
        <v>432</v>
      </c>
      <c r="H15" s="80" t="s">
        <v>433</v>
      </c>
      <c r="I15" s="80" t="s">
        <v>434</v>
      </c>
      <c r="J15" s="80" t="s">
        <v>435</v>
      </c>
      <c r="K15" s="80" t="s">
        <v>436</v>
      </c>
      <c r="L15" s="80" t="s">
        <v>437</v>
      </c>
      <c r="M15" s="80" t="s">
        <v>438</v>
      </c>
      <c r="N15" s="80" t="s">
        <v>439</v>
      </c>
      <c r="O15" s="80" t="s">
        <v>440</v>
      </c>
      <c r="P15" s="80" t="s">
        <v>441</v>
      </c>
      <c r="Q15" s="80" t="s">
        <v>442</v>
      </c>
      <c r="R15" s="80" t="s">
        <v>443</v>
      </c>
      <c r="S15" s="80" t="s">
        <v>444</v>
      </c>
      <c r="T15" s="80" t="s">
        <v>445</v>
      </c>
      <c r="U15" s="80" t="s">
        <v>446</v>
      </c>
      <c r="V15" s="80" t="s">
        <v>447</v>
      </c>
      <c r="W15" s="80" t="s">
        <v>448</v>
      </c>
      <c r="X15" s="81" t="s">
        <v>449</v>
      </c>
    </row>
    <row r="16" spans="4:24" s="1" customFormat="1" ht="18" customHeight="1">
      <c r="D16" s="82" t="s">
        <v>456</v>
      </c>
      <c r="E16" s="926"/>
      <c r="F16" s="926"/>
      <c r="G16" s="926"/>
      <c r="H16" s="83">
        <v>9.4910999999999994</v>
      </c>
      <c r="I16" s="83">
        <v>10.0146</v>
      </c>
      <c r="J16" s="83">
        <v>10.1479</v>
      </c>
      <c r="K16" s="83">
        <v>9.8117000000000001</v>
      </c>
      <c r="L16" s="83">
        <v>10.1318</v>
      </c>
      <c r="M16" s="83">
        <v>10.282400000000001</v>
      </c>
      <c r="N16" s="83">
        <v>10.733499999999999</v>
      </c>
      <c r="O16" s="84"/>
      <c r="P16" s="84"/>
      <c r="Q16" s="84"/>
      <c r="R16" s="84"/>
      <c r="S16" s="84"/>
      <c r="T16" s="84"/>
      <c r="U16" s="84"/>
      <c r="V16" s="84"/>
      <c r="W16" s="84"/>
      <c r="X16" s="85"/>
    </row>
    <row r="17" spans="4:24" s="1" customFormat="1" ht="18" customHeight="1">
      <c r="D17" s="82" t="s">
        <v>457</v>
      </c>
      <c r="E17" s="927"/>
      <c r="F17" s="927"/>
      <c r="G17" s="927"/>
      <c r="H17" s="83">
        <v>9.9062999999999999</v>
      </c>
      <c r="I17" s="83">
        <v>9.8903999999999996</v>
      </c>
      <c r="J17" s="83">
        <v>9.8918999999999997</v>
      </c>
      <c r="K17" s="83">
        <v>9.952</v>
      </c>
      <c r="L17" s="83">
        <v>9.9626999999999999</v>
      </c>
      <c r="M17" s="83">
        <v>10.219900000000001</v>
      </c>
      <c r="N17" s="83">
        <v>10.416499999999999</v>
      </c>
      <c r="O17" s="84"/>
      <c r="P17" s="84"/>
      <c r="Q17" s="84"/>
      <c r="R17" s="84"/>
      <c r="S17" s="84"/>
      <c r="T17" s="84"/>
      <c r="U17" s="84"/>
      <c r="V17" s="84"/>
      <c r="W17" s="84"/>
      <c r="X17" s="85"/>
    </row>
    <row r="18" spans="4:24" ht="18" customHeight="1">
      <c r="D18" s="86">
        <v>10020617</v>
      </c>
      <c r="E18" s="87" t="s">
        <v>450</v>
      </c>
      <c r="F18" s="52">
        <v>6676985115</v>
      </c>
      <c r="G18" s="52"/>
      <c r="H18" s="52">
        <f>ROUND(H9*H16,0)</f>
        <v>5988575639</v>
      </c>
      <c r="I18" s="52">
        <f t="shared" ref="I18:L19" si="2">ROUND(I9*I16,0)</f>
        <v>6155467631</v>
      </c>
      <c r="J18" s="52">
        <f t="shared" si="2"/>
        <v>6071805692</v>
      </c>
      <c r="K18" s="52">
        <f t="shared" si="2"/>
        <v>5710538179</v>
      </c>
      <c r="L18" s="52">
        <f>ROUND(L9*L16,0)</f>
        <v>5731508601</v>
      </c>
      <c r="M18" s="52">
        <f>L18-M19</f>
        <v>5566176622.125</v>
      </c>
      <c r="N18" s="52">
        <f>M18-N19</f>
        <v>5400844643.25</v>
      </c>
      <c r="O18" s="52">
        <f>N18-O19</f>
        <v>5235512664.375</v>
      </c>
      <c r="P18" s="52">
        <f>O18-P19</f>
        <v>5070180685.5</v>
      </c>
      <c r="Q18" s="87"/>
      <c r="R18" s="87"/>
      <c r="S18" s="87"/>
      <c r="T18" s="87"/>
      <c r="U18" s="87"/>
      <c r="V18" s="87"/>
      <c r="W18" s="87"/>
      <c r="X18" s="88"/>
    </row>
    <row r="19" spans="4:24" ht="18" customHeight="1">
      <c r="D19" s="86">
        <v>40040114</v>
      </c>
      <c r="E19" s="87" t="s">
        <v>451</v>
      </c>
      <c r="F19" s="89"/>
      <c r="G19" s="52">
        <v>120</v>
      </c>
      <c r="H19" s="52">
        <f>ROUND(H10*H17,0)</f>
        <v>215536322</v>
      </c>
      <c r="I19" s="52">
        <f t="shared" si="2"/>
        <v>161392784</v>
      </c>
      <c r="J19" s="52">
        <f t="shared" si="2"/>
        <v>161417261</v>
      </c>
      <c r="K19" s="52">
        <f t="shared" si="2"/>
        <v>162397980</v>
      </c>
      <c r="L19" s="52">
        <f t="shared" si="2"/>
        <v>162572584</v>
      </c>
      <c r="M19" s="52">
        <f>L18/104*3</f>
        <v>165331978.875</v>
      </c>
      <c r="N19" s="52">
        <f t="shared" ref="N19:P20" si="3">M19</f>
        <v>165331978.875</v>
      </c>
      <c r="O19" s="52">
        <f t="shared" si="3"/>
        <v>165331978.875</v>
      </c>
      <c r="P19" s="52">
        <f t="shared" si="3"/>
        <v>165331978.875</v>
      </c>
      <c r="Q19" s="52"/>
      <c r="R19" s="52"/>
      <c r="S19" s="52"/>
      <c r="T19" s="52"/>
      <c r="U19" s="52"/>
      <c r="V19" s="52"/>
      <c r="W19" s="52"/>
      <c r="X19" s="53"/>
    </row>
    <row r="20" spans="4:24" ht="18" customHeight="1">
      <c r="D20" s="86">
        <v>40080101</v>
      </c>
      <c r="E20" s="87" t="s">
        <v>452</v>
      </c>
      <c r="F20" s="89">
        <v>0.34810000000000002</v>
      </c>
      <c r="G20" s="52"/>
      <c r="H20" s="52">
        <f>ROUND(H11*H17,0)</f>
        <v>75028196</v>
      </c>
      <c r="I20" s="52">
        <f>ROUND(I11*I17,0)</f>
        <v>56180825</v>
      </c>
      <c r="J20" s="52">
        <f>ROUND(J11*J17,0)</f>
        <v>56189345</v>
      </c>
      <c r="K20" s="52">
        <f>ROUND(K11*K17,0)</f>
        <v>56530734</v>
      </c>
      <c r="L20" s="52">
        <f>ROUND(L11*L17,0)</f>
        <v>56591513</v>
      </c>
      <c r="M20" s="52">
        <f>L21/104*3</f>
        <v>57552062.278846152</v>
      </c>
      <c r="N20" s="52">
        <f t="shared" si="3"/>
        <v>57552062.278846152</v>
      </c>
      <c r="O20" s="52">
        <f t="shared" si="3"/>
        <v>57552062.278846152</v>
      </c>
      <c r="P20" s="52">
        <f t="shared" si="3"/>
        <v>57552062.278846152</v>
      </c>
      <c r="Q20" s="52"/>
      <c r="R20" s="52"/>
      <c r="S20" s="52"/>
      <c r="T20" s="52"/>
      <c r="U20" s="52"/>
      <c r="V20" s="52"/>
      <c r="W20" s="52"/>
      <c r="X20" s="53"/>
    </row>
    <row r="21" spans="4:24" ht="18" customHeight="1">
      <c r="D21" s="86">
        <v>20020501</v>
      </c>
      <c r="E21" s="87" t="s">
        <v>453</v>
      </c>
      <c r="F21" s="52">
        <v>2324258519</v>
      </c>
      <c r="G21" s="52"/>
      <c r="H21" s="52">
        <f>ROUND(H12*H16,0)</f>
        <v>2084623182</v>
      </c>
      <c r="I21" s="52">
        <f>ROUND(I12*I16,0)</f>
        <v>2142718288</v>
      </c>
      <c r="J21" s="52">
        <f>ROUND(J12*J16,0)</f>
        <v>2113595570</v>
      </c>
      <c r="K21" s="52">
        <f>ROUND(K12*K16,0)</f>
        <v>1987838352</v>
      </c>
      <c r="L21" s="52">
        <f>ROUND(L12*L16,0)</f>
        <v>1995138159</v>
      </c>
      <c r="M21" s="52">
        <f>L21-M20</f>
        <v>1937586096.7211537</v>
      </c>
      <c r="N21" s="52">
        <f>M21-N20</f>
        <v>1880034034.4423075</v>
      </c>
      <c r="O21" s="52">
        <f>N21-O20</f>
        <v>1822481972.1634612</v>
      </c>
      <c r="P21" s="52">
        <f>O21-P20</f>
        <v>1764929909.8846149</v>
      </c>
      <c r="Q21" s="52"/>
      <c r="R21" s="52"/>
      <c r="S21" s="52"/>
      <c r="T21" s="52"/>
      <c r="U21" s="52"/>
      <c r="V21" s="52"/>
      <c r="W21" s="52"/>
      <c r="X21" s="53"/>
    </row>
    <row r="22" spans="4:24" ht="18" customHeight="1" thickBot="1">
      <c r="D22" s="90" t="s">
        <v>203</v>
      </c>
      <c r="E22" s="91" t="s">
        <v>204</v>
      </c>
      <c r="F22" s="55"/>
      <c r="G22" s="55"/>
      <c r="H22" s="55">
        <f>SUM(H18:H19)-F18+F21-H21-H20</f>
        <v>-308266013</v>
      </c>
      <c r="I22" s="55">
        <f t="shared" ref="I22:N22" si="4">SUM(I18:I19)-H18+H21-I21-I20</f>
        <v>214008845</v>
      </c>
      <c r="J22" s="55">
        <f t="shared" si="4"/>
        <v>50688695</v>
      </c>
      <c r="K22" s="55">
        <f t="shared" si="4"/>
        <v>-129643049</v>
      </c>
      <c r="L22" s="55">
        <f t="shared" si="4"/>
        <v>119651686</v>
      </c>
      <c r="M22" s="55">
        <f t="shared" si="4"/>
        <v>1.1175870895385742E-7</v>
      </c>
      <c r="N22" s="55">
        <f t="shared" si="4"/>
        <v>1.1175870895385742E-7</v>
      </c>
      <c r="O22" s="91"/>
      <c r="P22" s="91"/>
      <c r="Q22" s="91"/>
      <c r="R22" s="91"/>
      <c r="S22" s="91"/>
      <c r="T22" s="91"/>
      <c r="U22" s="91"/>
      <c r="V22" s="91"/>
      <c r="W22" s="91"/>
      <c r="X22" s="92"/>
    </row>
    <row r="23" spans="4:24" ht="18" customHeight="1">
      <c r="D23" s="24"/>
      <c r="H23" s="113"/>
    </row>
    <row r="24" spans="4:24" ht="18" customHeight="1">
      <c r="D24" s="24"/>
    </row>
    <row r="25" spans="4:24" ht="18" customHeight="1">
      <c r="D25" s="24"/>
    </row>
    <row r="26" spans="4:24" ht="18" customHeight="1">
      <c r="D26" s="24"/>
    </row>
    <row r="27" spans="4:24" ht="18" customHeight="1">
      <c r="D27" s="24"/>
    </row>
    <row r="28" spans="4:24" ht="18" customHeight="1">
      <c r="D28" s="24"/>
    </row>
    <row r="29" spans="4:24" ht="18" customHeight="1">
      <c r="D29" s="24"/>
    </row>
  </sheetData>
  <mergeCells count="3">
    <mergeCell ref="E15:E17"/>
    <mergeCell ref="F15:F17"/>
    <mergeCell ref="G15:G17"/>
  </mergeCells>
  <phoneticPr fontId="2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>
    <tabColor rgb="FFFFFF00"/>
  </sheetPr>
  <dimension ref="C4:CU48"/>
  <sheetViews>
    <sheetView showGridLines="0" zoomScaleNormal="100" workbookViewId="0">
      <pane xSplit="5" ySplit="6" topLeftCell="AU16" activePane="bottomRight" state="frozen"/>
      <selection activeCell="K38" sqref="K38"/>
      <selection pane="topRight" activeCell="K38" sqref="K38"/>
      <selection pane="bottomLeft" activeCell="K38" sqref="K38"/>
      <selection pane="bottomRight" activeCell="CL20" sqref="CL20"/>
    </sheetView>
  </sheetViews>
  <sheetFormatPr defaultColWidth="8.75" defaultRowHeight="18" customHeight="1"/>
  <cols>
    <col min="1" max="2" width="2.375" style="5" customWidth="1"/>
    <col min="3" max="3" width="6" style="5" customWidth="1"/>
    <col min="4" max="4" width="15.375" style="5" customWidth="1"/>
    <col min="5" max="5" width="16" style="5" bestFit="1" customWidth="1"/>
    <col min="6" max="16" width="14.75" style="5" customWidth="1"/>
    <col min="17" max="17" width="2.375" style="5" customWidth="1"/>
    <col min="18" max="27" width="14.75" style="5" hidden="1" customWidth="1"/>
    <col min="28" max="28" width="3.375" style="5" hidden="1" customWidth="1"/>
    <col min="29" max="38" width="14.75" style="5" hidden="1" customWidth="1"/>
    <col min="39" max="39" width="2.625" style="5" customWidth="1"/>
    <col min="40" max="49" width="16.375" style="5" customWidth="1"/>
    <col min="50" max="50" width="13.375" style="5" bestFit="1" customWidth="1"/>
    <col min="51" max="60" width="16.375" style="5" hidden="1" customWidth="1"/>
    <col min="61" max="61" width="13.375" style="5" hidden="1" customWidth="1"/>
    <col min="62" max="71" width="16.375" style="5" hidden="1" customWidth="1"/>
    <col min="72" max="72" width="11.875" style="5" hidden="1" customWidth="1"/>
    <col min="73" max="85" width="16.375" style="5" hidden="1" customWidth="1"/>
    <col min="86" max="86" width="8.75" style="5"/>
    <col min="87" max="88" width="15.125" style="5" bestFit="1" customWidth="1"/>
    <col min="89" max="89" width="17.75" style="5" bestFit="1" customWidth="1"/>
    <col min="90" max="90" width="13.125" style="5" bestFit="1" customWidth="1"/>
    <col min="91" max="91" width="14.5" style="5" bestFit="1" customWidth="1"/>
    <col min="92" max="92" width="8.75" style="5" bestFit="1" customWidth="1"/>
    <col min="93" max="94" width="16.375" style="5" bestFit="1" customWidth="1"/>
    <col min="95" max="95" width="15.125" style="5" bestFit="1" customWidth="1"/>
    <col min="96" max="96" width="17.75" style="5" bestFit="1" customWidth="1"/>
    <col min="97" max="97" width="5.25" style="5" bestFit="1" customWidth="1"/>
    <col min="98" max="98" width="10.25" style="5" bestFit="1" customWidth="1"/>
    <col min="99" max="99" width="11.25" style="5" bestFit="1" customWidth="1"/>
    <col min="100" max="16384" width="8.75" style="5"/>
  </cols>
  <sheetData>
    <row r="4" spans="3:99" ht="18" customHeight="1">
      <c r="D4" s="26" t="s">
        <v>475</v>
      </c>
    </row>
    <row r="5" spans="3:99" ht="18" customHeight="1">
      <c r="D5" s="26"/>
      <c r="AC5" s="937" t="s">
        <v>1858</v>
      </c>
      <c r="AD5" s="937"/>
      <c r="AE5" s="937"/>
      <c r="AF5" s="937"/>
      <c r="AG5" s="937"/>
      <c r="AH5" s="937"/>
      <c r="AI5" s="937"/>
      <c r="AJ5" s="937"/>
      <c r="AK5" s="937"/>
      <c r="AL5" s="937"/>
      <c r="AN5" s="928" t="s">
        <v>1858</v>
      </c>
      <c r="AO5" s="928"/>
      <c r="AP5" s="928"/>
      <c r="AQ5" s="928"/>
      <c r="AR5" s="928"/>
      <c r="AS5" s="928"/>
      <c r="AT5" s="928"/>
      <c r="AU5" s="928"/>
      <c r="AV5" s="928"/>
      <c r="AW5" s="928"/>
      <c r="AY5" s="928" t="s">
        <v>1993</v>
      </c>
      <c r="AZ5" s="928"/>
      <c r="BA5" s="928"/>
      <c r="BB5" s="928"/>
      <c r="BC5" s="928"/>
      <c r="BD5" s="928"/>
      <c r="BE5" s="928"/>
      <c r="BF5" s="928"/>
      <c r="BG5" s="928"/>
      <c r="BH5" s="928"/>
      <c r="BJ5" s="928" t="s">
        <v>2172</v>
      </c>
      <c r="BK5" s="928"/>
      <c r="BL5" s="928"/>
      <c r="BM5" s="928"/>
      <c r="BN5" s="928"/>
      <c r="BO5" s="928"/>
      <c r="BP5" s="928"/>
      <c r="BQ5" s="928"/>
      <c r="BR5" s="928"/>
      <c r="BS5" s="928"/>
      <c r="BU5" s="928" t="s">
        <v>2222</v>
      </c>
      <c r="BV5" s="928"/>
      <c r="BW5" s="928"/>
      <c r="BX5" s="928"/>
      <c r="BY5" s="928"/>
      <c r="BZ5" s="928"/>
      <c r="CA5" s="928"/>
      <c r="CB5" s="928"/>
      <c r="CC5" s="928"/>
      <c r="CD5" s="928"/>
      <c r="CE5" s="928"/>
      <c r="CF5" s="928"/>
      <c r="CG5" s="928"/>
      <c r="CI5" s="928" t="s">
        <v>2223</v>
      </c>
      <c r="CJ5" s="928"/>
      <c r="CK5" s="928"/>
      <c r="CL5" s="928"/>
      <c r="CM5" s="928"/>
      <c r="CN5" s="928"/>
      <c r="CO5" s="928"/>
      <c r="CP5" s="928"/>
      <c r="CQ5" s="928"/>
      <c r="CR5" s="928"/>
      <c r="CS5" s="928"/>
      <c r="CT5" s="928"/>
      <c r="CU5" s="928"/>
    </row>
    <row r="6" spans="3:99" s="8" customFormat="1" ht="18" customHeight="1">
      <c r="D6" s="797" t="s">
        <v>459</v>
      </c>
      <c r="E6" s="797" t="s">
        <v>460</v>
      </c>
      <c r="F6" s="797" t="s">
        <v>472</v>
      </c>
      <c r="G6" s="797" t="s">
        <v>467</v>
      </c>
      <c r="H6" s="797" t="s">
        <v>461</v>
      </c>
      <c r="I6" s="797" t="s">
        <v>462</v>
      </c>
      <c r="J6" s="797" t="s">
        <v>463</v>
      </c>
      <c r="K6" s="797" t="s">
        <v>464</v>
      </c>
      <c r="L6" s="797" t="s">
        <v>465</v>
      </c>
      <c r="M6" s="797" t="s">
        <v>394</v>
      </c>
      <c r="N6" s="797" t="s">
        <v>484</v>
      </c>
      <c r="O6" s="797" t="s">
        <v>466</v>
      </c>
      <c r="P6" s="797" t="s">
        <v>478</v>
      </c>
      <c r="Q6" s="798" t="s">
        <v>1984</v>
      </c>
      <c r="R6" s="797" t="s">
        <v>467</v>
      </c>
      <c r="S6" s="797" t="s">
        <v>461</v>
      </c>
      <c r="T6" s="797" t="s">
        <v>462</v>
      </c>
      <c r="U6" s="797" t="s">
        <v>463</v>
      </c>
      <c r="V6" s="797" t="s">
        <v>464</v>
      </c>
      <c r="W6" s="797" t="s">
        <v>465</v>
      </c>
      <c r="X6" s="797" t="s">
        <v>395</v>
      </c>
      <c r="Y6" s="797" t="s">
        <v>484</v>
      </c>
      <c r="Z6" s="797" t="s">
        <v>466</v>
      </c>
      <c r="AA6" s="797" t="s">
        <v>478</v>
      </c>
      <c r="AB6" s="798"/>
      <c r="AC6" s="797" t="s">
        <v>467</v>
      </c>
      <c r="AD6" s="797" t="s">
        <v>461</v>
      </c>
      <c r="AE6" s="797" t="s">
        <v>462</v>
      </c>
      <c r="AF6" s="797" t="s">
        <v>463</v>
      </c>
      <c r="AG6" s="797" t="s">
        <v>464</v>
      </c>
      <c r="AH6" s="797" t="s">
        <v>465</v>
      </c>
      <c r="AI6" s="797" t="s">
        <v>1813</v>
      </c>
      <c r="AJ6" s="797" t="s">
        <v>484</v>
      </c>
      <c r="AK6" s="797" t="s">
        <v>466</v>
      </c>
      <c r="AL6" s="797" t="s">
        <v>478</v>
      </c>
      <c r="AN6" s="797" t="s">
        <v>467</v>
      </c>
      <c r="AO6" s="797" t="s">
        <v>461</v>
      </c>
      <c r="AP6" s="797" t="s">
        <v>462</v>
      </c>
      <c r="AQ6" s="797" t="s">
        <v>463</v>
      </c>
      <c r="AR6" s="797" t="s">
        <v>464</v>
      </c>
      <c r="AS6" s="797" t="s">
        <v>465</v>
      </c>
      <c r="AT6" s="797" t="s">
        <v>398</v>
      </c>
      <c r="AU6" s="797" t="s">
        <v>484</v>
      </c>
      <c r="AV6" s="797" t="s">
        <v>466</v>
      </c>
      <c r="AW6" s="797" t="s">
        <v>478</v>
      </c>
      <c r="AY6" s="797" t="s">
        <v>467</v>
      </c>
      <c r="AZ6" s="797" t="s">
        <v>461</v>
      </c>
      <c r="BA6" s="797" t="s">
        <v>462</v>
      </c>
      <c r="BB6" s="797" t="s">
        <v>463</v>
      </c>
      <c r="BC6" s="797" t="s">
        <v>464</v>
      </c>
      <c r="BD6" s="797" t="s">
        <v>465</v>
      </c>
      <c r="BE6" s="797" t="s">
        <v>398</v>
      </c>
      <c r="BF6" s="797" t="s">
        <v>484</v>
      </c>
      <c r="BG6" s="797" t="s">
        <v>466</v>
      </c>
      <c r="BH6" s="797" t="s">
        <v>478</v>
      </c>
      <c r="BJ6" s="797" t="s">
        <v>467</v>
      </c>
      <c r="BK6" s="797" t="s">
        <v>461</v>
      </c>
      <c r="BL6" s="797" t="s">
        <v>462</v>
      </c>
      <c r="BM6" s="797" t="s">
        <v>463</v>
      </c>
      <c r="BN6" s="797" t="s">
        <v>464</v>
      </c>
      <c r="BO6" s="797" t="s">
        <v>465</v>
      </c>
      <c r="BP6" s="797" t="s">
        <v>398</v>
      </c>
      <c r="BQ6" s="797" t="s">
        <v>484</v>
      </c>
      <c r="BR6" s="797" t="s">
        <v>466</v>
      </c>
      <c r="BS6" s="797" t="s">
        <v>478</v>
      </c>
      <c r="BU6" s="797" t="s">
        <v>467</v>
      </c>
      <c r="BV6" s="797" t="s">
        <v>461</v>
      </c>
      <c r="BW6" s="799" t="s">
        <v>2173</v>
      </c>
      <c r="BX6" s="797" t="s">
        <v>462</v>
      </c>
      <c r="BY6" s="797" t="s">
        <v>463</v>
      </c>
      <c r="BZ6" s="797" t="s">
        <v>464</v>
      </c>
      <c r="CA6" s="797" t="s">
        <v>465</v>
      </c>
      <c r="CB6" s="797" t="s">
        <v>2205</v>
      </c>
      <c r="CC6" s="797" t="s">
        <v>2204</v>
      </c>
      <c r="CD6" s="799" t="s">
        <v>2173</v>
      </c>
      <c r="CE6" s="797" t="s">
        <v>484</v>
      </c>
      <c r="CF6" s="797" t="s">
        <v>466</v>
      </c>
      <c r="CG6" s="797" t="s">
        <v>478</v>
      </c>
      <c r="CI6" s="797" t="s">
        <v>467</v>
      </c>
      <c r="CJ6" s="797" t="s">
        <v>461</v>
      </c>
      <c r="CK6" s="799" t="s">
        <v>2173</v>
      </c>
      <c r="CL6" s="797" t="s">
        <v>462</v>
      </c>
      <c r="CM6" s="797" t="s">
        <v>463</v>
      </c>
      <c r="CN6" s="797" t="s">
        <v>464</v>
      </c>
      <c r="CO6" s="797" t="s">
        <v>465</v>
      </c>
      <c r="CP6" s="797" t="s">
        <v>2205</v>
      </c>
      <c r="CQ6" s="797" t="s">
        <v>2204</v>
      </c>
      <c r="CR6" s="799" t="s">
        <v>2173</v>
      </c>
      <c r="CS6" s="797" t="s">
        <v>484</v>
      </c>
      <c r="CT6" s="797" t="s">
        <v>466</v>
      </c>
      <c r="CU6" s="797" t="s">
        <v>478</v>
      </c>
    </row>
    <row r="7" spans="3:99" ht="18" customHeight="1">
      <c r="C7" s="5" t="s">
        <v>2224</v>
      </c>
      <c r="D7" s="5" t="s">
        <v>15</v>
      </c>
      <c r="E7" s="5" t="s">
        <v>429</v>
      </c>
      <c r="F7" s="253" t="s">
        <v>473</v>
      </c>
      <c r="G7" s="5">
        <v>2126044175</v>
      </c>
      <c r="H7" s="5">
        <v>2126044175</v>
      </c>
      <c r="I7" s="5">
        <v>0</v>
      </c>
      <c r="J7" s="5">
        <v>0</v>
      </c>
      <c r="K7" s="5">
        <v>0</v>
      </c>
      <c r="L7" s="5">
        <v>0</v>
      </c>
      <c r="M7" s="5">
        <f>SUM(H7:L7)</f>
        <v>2126044175</v>
      </c>
      <c r="N7" s="5">
        <v>0</v>
      </c>
      <c r="O7" s="5">
        <f>M7-H7</f>
        <v>0</v>
      </c>
      <c r="R7" s="5">
        <v>2126044175</v>
      </c>
      <c r="S7" s="5">
        <f>M7</f>
        <v>2126044175</v>
      </c>
      <c r="X7" s="5">
        <f>SUM(S7:W7)</f>
        <v>2126044175</v>
      </c>
      <c r="Y7" s="5">
        <v>0</v>
      </c>
      <c r="Z7" s="5">
        <f>X7-S7</f>
        <v>0</v>
      </c>
      <c r="AC7" s="5">
        <v>2126044175</v>
      </c>
      <c r="AD7" s="5">
        <f>X7</f>
        <v>2126044175</v>
      </c>
      <c r="AI7" s="5">
        <f>SUM(AD7:AH7)</f>
        <v>2126044175</v>
      </c>
      <c r="AJ7" s="5">
        <v>0</v>
      </c>
      <c r="AK7" s="5">
        <f>AI7-AD7</f>
        <v>0</v>
      </c>
      <c r="AN7" s="5">
        <v>2126044175</v>
      </c>
      <c r="AO7" s="5">
        <f>M7</f>
        <v>2126044175</v>
      </c>
      <c r="AQ7" s="5">
        <v>-1936461513.2483287</v>
      </c>
      <c r="AT7" s="5">
        <f>SUM(AO7:AS7)</f>
        <v>189582661.75167131</v>
      </c>
      <c r="AU7" s="5">
        <v>0</v>
      </c>
      <c r="AV7" s="5">
        <f>AT7-AO7</f>
        <v>-1936461513.2483287</v>
      </c>
      <c r="AY7" s="5">
        <v>2126044175</v>
      </c>
      <c r="AZ7" s="5">
        <f>+AT7</f>
        <v>189582661.75167131</v>
      </c>
      <c r="BE7" s="5">
        <f>SUM(AZ7:BD7)</f>
        <v>189582661.75167131</v>
      </c>
      <c r="BF7" s="5">
        <v>0</v>
      </c>
      <c r="BG7" s="5">
        <f>BE7-AZ7</f>
        <v>0</v>
      </c>
      <c r="BJ7" s="5">
        <f>+G7</f>
        <v>2126044175</v>
      </c>
      <c r="BK7" s="5">
        <v>189582661.75167131</v>
      </c>
      <c r="BM7" s="5">
        <v>0</v>
      </c>
      <c r="BP7" s="5">
        <v>189582661.75167131</v>
      </c>
      <c r="BQ7" s="5">
        <v>0</v>
      </c>
      <c r="BR7" s="5">
        <v>0</v>
      </c>
      <c r="BU7" s="5">
        <f>+G7</f>
        <v>2126044175</v>
      </c>
      <c r="BV7" s="5">
        <f>+AT7</f>
        <v>189582661.75167131</v>
      </c>
      <c r="BW7" s="5">
        <f>+BV7-BU7</f>
        <v>-1936461513.2483287</v>
      </c>
      <c r="BY7" s="5">
        <v>0</v>
      </c>
      <c r="CB7" s="5">
        <f>+CC7-CD7</f>
        <v>2126044175</v>
      </c>
      <c r="CC7" s="5">
        <f>SUM(BV7:CA7)-BW7</f>
        <v>189582661.75167131</v>
      </c>
      <c r="CD7" s="5">
        <f t="shared" ref="CD7:CD12" si="0">+BW7+BY7</f>
        <v>-1936461513.2483287</v>
      </c>
      <c r="CE7" s="5">
        <v>0</v>
      </c>
      <c r="CF7" s="5">
        <f>CC7-BV7</f>
        <v>0</v>
      </c>
      <c r="CI7" s="5">
        <f t="shared" ref="CI7:CJ12" si="1">BU7</f>
        <v>2126044175</v>
      </c>
      <c r="CJ7" s="5">
        <f t="shared" si="1"/>
        <v>189582661.75167131</v>
      </c>
      <c r="CK7" s="5">
        <f>+CJ7-CI7</f>
        <v>-1936461513.2483287</v>
      </c>
      <c r="CM7" s="5">
        <v>0</v>
      </c>
      <c r="CP7" s="5">
        <f>+CQ7-CR7</f>
        <v>2126044175</v>
      </c>
      <c r="CQ7" s="5">
        <f>SUM(CJ7:CO7)-CK7</f>
        <v>189582661.75167131</v>
      </c>
      <c r="CR7" s="5">
        <f t="shared" ref="CR7:CR12" si="2">+CK7+CM7</f>
        <v>-1936461513.2483287</v>
      </c>
      <c r="CS7" s="5">
        <v>0</v>
      </c>
      <c r="CT7" s="5">
        <f>CQ7-CJ7</f>
        <v>0</v>
      </c>
    </row>
    <row r="8" spans="3:99" ht="18" customHeight="1">
      <c r="C8" s="5" t="s">
        <v>2225</v>
      </c>
      <c r="D8" s="5" t="s">
        <v>15</v>
      </c>
      <c r="E8" s="5" t="s">
        <v>468</v>
      </c>
      <c r="F8" s="253" t="s">
        <v>474</v>
      </c>
      <c r="G8" s="5">
        <v>19842800</v>
      </c>
      <c r="H8" s="5">
        <v>19842800</v>
      </c>
      <c r="I8" s="5">
        <v>0</v>
      </c>
      <c r="J8" s="5">
        <v>0</v>
      </c>
      <c r="K8" s="5">
        <v>0</v>
      </c>
      <c r="L8" s="5">
        <v>0</v>
      </c>
      <c r="M8" s="5">
        <f>SUM(H8:L8)</f>
        <v>19842800</v>
      </c>
      <c r="N8" s="5">
        <v>0</v>
      </c>
      <c r="O8" s="5">
        <f>M8-H8</f>
        <v>0</v>
      </c>
      <c r="Q8" s="5">
        <f>ROUND(+P8/3*3,)</f>
        <v>0</v>
      </c>
      <c r="R8" s="5">
        <v>0</v>
      </c>
      <c r="S8" s="5">
        <f>M8</f>
        <v>19842800</v>
      </c>
      <c r="X8" s="5">
        <f>SUM(S8:W8)</f>
        <v>19842800</v>
      </c>
      <c r="Y8" s="5">
        <v>0</v>
      </c>
      <c r="Z8" s="5">
        <f>X8-S8</f>
        <v>0</v>
      </c>
      <c r="AC8" s="5">
        <v>0</v>
      </c>
      <c r="AD8" s="5">
        <f>X8</f>
        <v>19842800</v>
      </c>
      <c r="AI8" s="5">
        <f>SUM(AD8:AH8)</f>
        <v>19842800</v>
      </c>
      <c r="AJ8" s="5">
        <v>0</v>
      </c>
      <c r="AK8" s="5">
        <f>AI8-AD8</f>
        <v>0</v>
      </c>
      <c r="AN8" s="5">
        <v>0</v>
      </c>
      <c r="AO8" s="5">
        <f>M8</f>
        <v>19842800</v>
      </c>
      <c r="AT8" s="5">
        <f>SUM(AO8:AS8)</f>
        <v>19842800</v>
      </c>
      <c r="AU8" s="5">
        <v>0</v>
      </c>
      <c r="AV8" s="5">
        <f>AT8-AO8</f>
        <v>0</v>
      </c>
      <c r="AY8" s="5">
        <v>0</v>
      </c>
      <c r="AZ8" s="5">
        <f>+AT8</f>
        <v>19842800</v>
      </c>
      <c r="BE8" s="5">
        <f>SUM(AZ8:BD8)</f>
        <v>19842800</v>
      </c>
      <c r="BF8" s="5">
        <v>0</v>
      </c>
      <c r="BG8" s="5">
        <f>BE8-AZ8</f>
        <v>0</v>
      </c>
      <c r="BJ8" s="5">
        <f>+G8</f>
        <v>19842800</v>
      </c>
      <c r="BK8" s="5">
        <v>19842800</v>
      </c>
      <c r="BP8" s="5">
        <v>19842800</v>
      </c>
      <c r="BQ8" s="5">
        <v>0</v>
      </c>
      <c r="BR8" s="5">
        <v>0</v>
      </c>
      <c r="BU8" s="5">
        <f>+G8</f>
        <v>19842800</v>
      </c>
      <c r="BV8" s="5">
        <f>+AT8</f>
        <v>19842800</v>
      </c>
      <c r="BW8" s="5">
        <f>+BV8-BU8</f>
        <v>0</v>
      </c>
      <c r="CB8" s="5">
        <f>+CC8-CD8</f>
        <v>19842800</v>
      </c>
      <c r="CC8" s="5">
        <f>SUM(BV8:CA8)-BW8</f>
        <v>19842800</v>
      </c>
      <c r="CD8" s="5">
        <f t="shared" si="0"/>
        <v>0</v>
      </c>
      <c r="CE8" s="5">
        <v>0</v>
      </c>
      <c r="CF8" s="5">
        <f>CC8-BV8</f>
        <v>0</v>
      </c>
      <c r="CI8" s="5">
        <f t="shared" si="1"/>
        <v>19842800</v>
      </c>
      <c r="CJ8" s="5">
        <f t="shared" si="1"/>
        <v>19842800</v>
      </c>
      <c r="CK8" s="5">
        <f>+CJ8-CI8</f>
        <v>0</v>
      </c>
      <c r="CP8" s="5">
        <f>+CQ8-CR8</f>
        <v>19842800</v>
      </c>
      <c r="CQ8" s="5">
        <f>SUM(CJ8:CO8)-CK8</f>
        <v>19842800</v>
      </c>
      <c r="CR8" s="5">
        <f t="shared" si="2"/>
        <v>0</v>
      </c>
      <c r="CS8" s="5">
        <v>0</v>
      </c>
      <c r="CT8" s="5">
        <f>CQ8-CJ8</f>
        <v>0</v>
      </c>
    </row>
    <row r="9" spans="3:99" ht="18" customHeight="1">
      <c r="C9" s="5" t="s">
        <v>2225</v>
      </c>
      <c r="D9" s="5" t="s">
        <v>15</v>
      </c>
      <c r="E9" s="5" t="s">
        <v>471</v>
      </c>
      <c r="F9" s="253" t="s">
        <v>474</v>
      </c>
      <c r="G9" s="5">
        <v>297103293</v>
      </c>
      <c r="H9" s="5">
        <v>297103293</v>
      </c>
      <c r="J9" s="5">
        <v>-294995310</v>
      </c>
      <c r="L9" s="5">
        <v>-2107983</v>
      </c>
      <c r="M9" s="5">
        <f>SUM(H9:L9)</f>
        <v>0</v>
      </c>
      <c r="O9" s="5">
        <f>M9-H9</f>
        <v>-297103293</v>
      </c>
      <c r="R9" s="5">
        <v>297103293</v>
      </c>
      <c r="S9" s="5">
        <f>M9</f>
        <v>0</v>
      </c>
      <c r="X9" s="5">
        <f>SUM(S9:W9)</f>
        <v>0</v>
      </c>
      <c r="Z9" s="5">
        <f>X9-S9</f>
        <v>0</v>
      </c>
      <c r="AC9" s="5">
        <v>297103293</v>
      </c>
      <c r="AD9" s="5">
        <f>X9</f>
        <v>0</v>
      </c>
      <c r="AI9" s="5">
        <f>SUM(AD9:AH9)</f>
        <v>0</v>
      </c>
      <c r="AK9" s="5">
        <f>AI9-AD9</f>
        <v>0</v>
      </c>
      <c r="AN9" s="5">
        <v>297103293</v>
      </c>
      <c r="AO9" s="5">
        <f>M9</f>
        <v>0</v>
      </c>
      <c r="AT9" s="5">
        <f>SUM(AO9:AS9)</f>
        <v>0</v>
      </c>
      <c r="AV9" s="5">
        <f>AT9-AO9</f>
        <v>0</v>
      </c>
      <c r="AY9" s="5">
        <v>297103293</v>
      </c>
      <c r="AZ9" s="5">
        <f>+AT9</f>
        <v>0</v>
      </c>
      <c r="BE9" s="5">
        <f>SUM(AZ9:BD9)</f>
        <v>0</v>
      </c>
      <c r="BG9" s="5">
        <f>BE9-AZ9</f>
        <v>0</v>
      </c>
      <c r="BJ9" s="5">
        <f>+G9</f>
        <v>297103293</v>
      </c>
      <c r="BK9" s="5">
        <v>0</v>
      </c>
      <c r="BP9" s="5">
        <v>0</v>
      </c>
      <c r="BR9" s="5">
        <v>0</v>
      </c>
      <c r="BU9" s="5">
        <f>+G9</f>
        <v>297103293</v>
      </c>
      <c r="BV9" s="5">
        <f>+AT9</f>
        <v>0</v>
      </c>
      <c r="BW9" s="5">
        <f>+BV9-BU9</f>
        <v>-297103293</v>
      </c>
      <c r="CB9" s="5">
        <f>+CC9-CD9</f>
        <v>297103293</v>
      </c>
      <c r="CC9" s="5">
        <f>SUM(BV9:CA9)-BW9</f>
        <v>0</v>
      </c>
      <c r="CD9" s="5">
        <f>+BW9+BY9</f>
        <v>-297103293</v>
      </c>
      <c r="CF9" s="5">
        <f>CC9-BV9</f>
        <v>0</v>
      </c>
      <c r="CI9" s="5">
        <f t="shared" si="1"/>
        <v>297103293</v>
      </c>
      <c r="CJ9" s="5">
        <f t="shared" si="1"/>
        <v>0</v>
      </c>
      <c r="CK9" s="5">
        <f>+CJ9-CI9</f>
        <v>-297103293</v>
      </c>
      <c r="CP9" s="5">
        <f>+CQ9-CR9</f>
        <v>297103293</v>
      </c>
      <c r="CQ9" s="5">
        <f>SUM(CJ9:CO9)-CK9</f>
        <v>0</v>
      </c>
      <c r="CR9" s="5">
        <f>+CK9+CM9</f>
        <v>-297103293</v>
      </c>
      <c r="CT9" s="5">
        <f>CQ9-CJ9</f>
        <v>0</v>
      </c>
    </row>
    <row r="10" spans="3:99" ht="18" customHeight="1">
      <c r="C10" s="5" t="s">
        <v>2225</v>
      </c>
      <c r="D10" s="5" t="s">
        <v>15</v>
      </c>
      <c r="E10" s="5" t="s">
        <v>480</v>
      </c>
      <c r="F10" s="253" t="s">
        <v>474</v>
      </c>
      <c r="G10" s="5">
        <v>13175822804</v>
      </c>
      <c r="H10" s="5">
        <v>13175822804</v>
      </c>
      <c r="I10" s="5">
        <v>0</v>
      </c>
      <c r="J10" s="5">
        <v>-13175822804</v>
      </c>
      <c r="M10" s="5">
        <f>SUM(H10:L10)</f>
        <v>0</v>
      </c>
      <c r="N10" s="5">
        <v>0</v>
      </c>
      <c r="O10" s="5">
        <f>M10-H10</f>
        <v>-13175822804</v>
      </c>
      <c r="P10" s="253" t="s">
        <v>469</v>
      </c>
      <c r="Q10" s="253" t="e">
        <f>ROUND(+P10/3*3,)</f>
        <v>#VALUE!</v>
      </c>
      <c r="R10" s="5">
        <v>13175822804</v>
      </c>
      <c r="S10" s="5">
        <f>M10</f>
        <v>0</v>
      </c>
      <c r="X10" s="5">
        <f>SUM(S10:W10)</f>
        <v>0</v>
      </c>
      <c r="Y10" s="5">
        <v>0</v>
      </c>
      <c r="Z10" s="5">
        <f>X10-S10</f>
        <v>0</v>
      </c>
      <c r="AA10" s="253"/>
      <c r="AB10" s="253"/>
      <c r="AC10" s="5">
        <v>13175822804</v>
      </c>
      <c r="AD10" s="5">
        <f>X10</f>
        <v>0</v>
      </c>
      <c r="AI10" s="5">
        <f>SUM(AD10:AH10)</f>
        <v>0</v>
      </c>
      <c r="AJ10" s="5">
        <v>0</v>
      </c>
      <c r="AK10" s="5">
        <f>AI10-AD10</f>
        <v>0</v>
      </c>
      <c r="AL10" s="253"/>
      <c r="AN10" s="5">
        <v>13175822804</v>
      </c>
      <c r="AO10" s="5">
        <f>M10</f>
        <v>0</v>
      </c>
      <c r="AT10" s="5">
        <f>SUM(AO10:AS10)</f>
        <v>0</v>
      </c>
      <c r="AU10" s="5">
        <v>0</v>
      </c>
      <c r="AV10" s="5">
        <f>AT10-AO10</f>
        <v>0</v>
      </c>
      <c r="AW10" s="253"/>
      <c r="AY10" s="5">
        <v>13175822804</v>
      </c>
      <c r="AZ10" s="5">
        <f>+AT10</f>
        <v>0</v>
      </c>
      <c r="BE10" s="5">
        <f>SUM(AZ10:BD10)</f>
        <v>0</v>
      </c>
      <c r="BF10" s="5">
        <v>0</v>
      </c>
      <c r="BG10" s="5">
        <f>BE10-AZ10</f>
        <v>0</v>
      </c>
      <c r="BH10" s="253"/>
      <c r="BJ10" s="5">
        <f>+G10</f>
        <v>13175822804</v>
      </c>
      <c r="BK10" s="5">
        <v>0</v>
      </c>
      <c r="BP10" s="5">
        <v>0</v>
      </c>
      <c r="BQ10" s="5">
        <v>0</v>
      </c>
      <c r="BR10" s="5">
        <v>0</v>
      </c>
      <c r="BS10" s="253"/>
      <c r="BU10" s="5">
        <f>+G10</f>
        <v>13175822804</v>
      </c>
      <c r="BV10" s="5">
        <f>+AT10</f>
        <v>0</v>
      </c>
      <c r="BW10" s="5">
        <f>+BV10-BU10</f>
        <v>-13175822804</v>
      </c>
      <c r="CB10" s="5">
        <f>+CC10-CD10</f>
        <v>13175822804</v>
      </c>
      <c r="CC10" s="5">
        <f>SUM(BV10:CA10)-BW10</f>
        <v>0</v>
      </c>
      <c r="CD10" s="5">
        <f t="shared" si="0"/>
        <v>-13175822804</v>
      </c>
      <c r="CE10" s="5">
        <v>0</v>
      </c>
      <c r="CF10" s="5">
        <f>CC10-BV10</f>
        <v>0</v>
      </c>
      <c r="CG10" s="253"/>
      <c r="CI10" s="5">
        <f t="shared" si="1"/>
        <v>13175822804</v>
      </c>
      <c r="CJ10" s="5">
        <f t="shared" si="1"/>
        <v>0</v>
      </c>
      <c r="CK10" s="5">
        <f>+CJ10-CI10</f>
        <v>-13175822804</v>
      </c>
      <c r="CP10" s="5">
        <f>+CQ10-CR10</f>
        <v>13175822804</v>
      </c>
      <c r="CQ10" s="5">
        <f>SUM(CJ10:CO10)-CK10</f>
        <v>0</v>
      </c>
      <c r="CR10" s="5">
        <f t="shared" si="2"/>
        <v>-13175822804</v>
      </c>
      <c r="CS10" s="5">
        <v>0</v>
      </c>
      <c r="CT10" s="5">
        <f>CQ10-CJ10</f>
        <v>0</v>
      </c>
      <c r="CU10" s="253"/>
    </row>
    <row r="11" spans="3:99" ht="18" customHeight="1">
      <c r="C11" s="5" t="s">
        <v>2225</v>
      </c>
      <c r="D11" s="5" t="s">
        <v>15</v>
      </c>
      <c r="E11" s="5" t="s">
        <v>216</v>
      </c>
      <c r="F11" s="253" t="s">
        <v>474</v>
      </c>
      <c r="G11" s="5">
        <v>4096993217</v>
      </c>
      <c r="H11" s="5">
        <v>0</v>
      </c>
      <c r="I11" s="5">
        <v>4096993217</v>
      </c>
      <c r="M11" s="5">
        <f>SUM(H11:L11)</f>
        <v>4096993217</v>
      </c>
      <c r="O11" s="5">
        <f>M11-H11</f>
        <v>4096993217</v>
      </c>
      <c r="P11" s="253" t="s">
        <v>470</v>
      </c>
      <c r="Q11" s="253"/>
      <c r="R11" s="5">
        <v>4096993217</v>
      </c>
      <c r="S11" s="5">
        <f>M11</f>
        <v>4096993217</v>
      </c>
      <c r="T11" s="5">
        <v>-4096993217</v>
      </c>
      <c r="X11" s="5">
        <f>SUM(S11:W11)</f>
        <v>0</v>
      </c>
      <c r="Z11" s="5">
        <f>X11-S11</f>
        <v>-4096993217</v>
      </c>
      <c r="AA11" s="253" t="s">
        <v>1588</v>
      </c>
      <c r="AB11" s="253"/>
      <c r="AC11" s="5">
        <v>4096993217</v>
      </c>
      <c r="AD11" s="5">
        <f>X11</f>
        <v>0</v>
      </c>
      <c r="AE11" s="5">
        <v>-4096993217</v>
      </c>
      <c r="AI11" s="5">
        <f>SUM(AD11:AH11)</f>
        <v>-4096993217</v>
      </c>
      <c r="AK11" s="5">
        <f>AI11-AD11</f>
        <v>-4096993217</v>
      </c>
      <c r="AL11" s="253" t="s">
        <v>1588</v>
      </c>
      <c r="AN11" s="5">
        <v>4096993217</v>
      </c>
      <c r="AO11" s="5">
        <f>M11</f>
        <v>4096993217</v>
      </c>
      <c r="AP11" s="5">
        <v>-4096993217</v>
      </c>
      <c r="AT11" s="5">
        <f>SUM(AO11:AS11)</f>
        <v>0</v>
      </c>
      <c r="AV11" s="5">
        <f>AT11-AO11</f>
        <v>-4096993217</v>
      </c>
      <c r="AW11" s="253" t="s">
        <v>1588</v>
      </c>
      <c r="AY11" s="5">
        <v>4096993217</v>
      </c>
      <c r="AZ11" s="5">
        <f>+AT11</f>
        <v>0</v>
      </c>
      <c r="BE11" s="5">
        <f>SUM(AZ11:BD11)</f>
        <v>0</v>
      </c>
      <c r="BG11" s="5">
        <f>BE11-AZ11</f>
        <v>0</v>
      </c>
      <c r="BH11" s="253" t="s">
        <v>1588</v>
      </c>
      <c r="BJ11" s="5">
        <f>+G11</f>
        <v>4096993217</v>
      </c>
      <c r="BK11" s="5">
        <v>0</v>
      </c>
      <c r="BP11" s="5">
        <v>0</v>
      </c>
      <c r="BR11" s="5">
        <v>0</v>
      </c>
      <c r="BS11" s="253" t="s">
        <v>1588</v>
      </c>
      <c r="BU11" s="5">
        <f>+G11</f>
        <v>4096993217</v>
      </c>
      <c r="BV11" s="5">
        <f>+BU11</f>
        <v>4096993217</v>
      </c>
      <c r="CB11" s="5">
        <f>+BU11</f>
        <v>4096993217</v>
      </c>
      <c r="CC11" s="5">
        <f>+CB11</f>
        <v>4096993217</v>
      </c>
      <c r="CD11" s="5">
        <f t="shared" si="0"/>
        <v>0</v>
      </c>
      <c r="CF11" s="5">
        <f>CC11-BV11</f>
        <v>0</v>
      </c>
      <c r="CG11" s="253" t="s">
        <v>1588</v>
      </c>
      <c r="CI11" s="5">
        <f t="shared" si="1"/>
        <v>4096993217</v>
      </c>
      <c r="CJ11" s="5">
        <f t="shared" si="1"/>
        <v>4096993217</v>
      </c>
      <c r="CP11" s="5">
        <f>+CI11</f>
        <v>4096993217</v>
      </c>
      <c r="CQ11" s="5">
        <f>+CP11</f>
        <v>4096993217</v>
      </c>
      <c r="CR11" s="5">
        <f t="shared" si="2"/>
        <v>0</v>
      </c>
      <c r="CT11" s="5">
        <f>CQ11-CJ11</f>
        <v>0</v>
      </c>
      <c r="CU11" s="253" t="s">
        <v>1588</v>
      </c>
    </row>
    <row r="12" spans="3:99" ht="18" customHeight="1">
      <c r="C12" s="5" t="s">
        <v>2225</v>
      </c>
      <c r="D12" s="5" t="s">
        <v>15</v>
      </c>
      <c r="E12" s="20" t="s">
        <v>2174</v>
      </c>
      <c r="F12" s="253"/>
      <c r="BU12" s="5">
        <v>484923306</v>
      </c>
      <c r="BV12" s="5">
        <v>484923306</v>
      </c>
      <c r="BW12" s="5">
        <f>+BV12-BU12</f>
        <v>0</v>
      </c>
      <c r="CB12" s="5">
        <f>+CC12-CD12</f>
        <v>484923306</v>
      </c>
      <c r="CC12" s="5">
        <f>SUM(BV12:CA12)-BW12</f>
        <v>484923306</v>
      </c>
      <c r="CD12" s="5">
        <f t="shared" si="0"/>
        <v>0</v>
      </c>
      <c r="CI12" s="5">
        <f t="shared" si="1"/>
        <v>484923306</v>
      </c>
      <c r="CJ12" s="5">
        <f t="shared" si="1"/>
        <v>484923306</v>
      </c>
      <c r="CK12" s="5">
        <f>+CJ12-CI12</f>
        <v>0</v>
      </c>
      <c r="CM12" s="5">
        <v>-484923306</v>
      </c>
      <c r="CP12" s="5">
        <f>+CQ12-CR12</f>
        <v>484923306</v>
      </c>
      <c r="CQ12" s="5">
        <f>SUM(CJ12:CO12)-CK12</f>
        <v>0</v>
      </c>
      <c r="CR12" s="5">
        <f t="shared" si="2"/>
        <v>-484923306</v>
      </c>
    </row>
    <row r="13" spans="3:99" ht="18" customHeight="1">
      <c r="D13" s="800"/>
      <c r="E13" s="800"/>
      <c r="F13" s="800"/>
      <c r="G13" s="800"/>
      <c r="H13" s="800"/>
      <c r="I13" s="800"/>
      <c r="J13" s="800"/>
      <c r="K13" s="800"/>
      <c r="L13" s="800"/>
      <c r="M13" s="800"/>
      <c r="N13" s="800"/>
      <c r="O13" s="800"/>
      <c r="P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C13" s="800"/>
      <c r="AD13" s="800"/>
      <c r="AE13" s="800"/>
      <c r="AF13" s="800"/>
      <c r="AG13" s="800"/>
      <c r="AH13" s="800"/>
      <c r="AI13" s="800"/>
      <c r="AJ13" s="800"/>
      <c r="AK13" s="800"/>
      <c r="AL13" s="800"/>
      <c r="AN13" s="800"/>
      <c r="AO13" s="800"/>
      <c r="AP13" s="800"/>
      <c r="AQ13" s="800"/>
      <c r="AR13" s="800"/>
      <c r="AS13" s="800"/>
      <c r="AT13" s="800"/>
      <c r="AU13" s="800"/>
      <c r="AV13" s="800"/>
      <c r="AW13" s="800"/>
      <c r="AY13" s="800"/>
      <c r="AZ13" s="800"/>
      <c r="BA13" s="800"/>
      <c r="BB13" s="800"/>
      <c r="BC13" s="800"/>
      <c r="BD13" s="800"/>
      <c r="BE13" s="800"/>
      <c r="BF13" s="800"/>
      <c r="BG13" s="800"/>
      <c r="BH13" s="800"/>
      <c r="BJ13" s="800"/>
      <c r="BK13" s="800"/>
      <c r="BL13" s="800"/>
      <c r="BM13" s="800"/>
      <c r="BN13" s="800"/>
      <c r="BO13" s="800"/>
      <c r="BP13" s="800"/>
      <c r="BQ13" s="800"/>
      <c r="BR13" s="800"/>
      <c r="BS13" s="800"/>
      <c r="BU13" s="800"/>
      <c r="BV13" s="800"/>
      <c r="BW13" s="800"/>
      <c r="BX13" s="800"/>
      <c r="BY13" s="800"/>
      <c r="BZ13" s="800"/>
      <c r="CA13" s="800"/>
      <c r="CB13" s="800"/>
      <c r="CC13" s="800"/>
      <c r="CD13" s="800"/>
      <c r="CE13" s="800"/>
      <c r="CF13" s="800"/>
      <c r="CG13" s="800"/>
      <c r="CI13" s="800"/>
      <c r="CJ13" s="800"/>
      <c r="CK13" s="800"/>
      <c r="CL13" s="800"/>
      <c r="CM13" s="800"/>
      <c r="CN13" s="800"/>
      <c r="CO13" s="800"/>
      <c r="CP13" s="800"/>
      <c r="CQ13" s="800"/>
      <c r="CR13" s="800"/>
      <c r="CS13" s="800"/>
      <c r="CT13" s="800"/>
      <c r="CU13" s="800"/>
    </row>
    <row r="15" spans="3:99" ht="18" customHeight="1">
      <c r="D15" s="26" t="s">
        <v>476</v>
      </c>
      <c r="Q15" s="5">
        <v>11.308299999999999</v>
      </c>
    </row>
    <row r="16" spans="3:99" ht="18" customHeight="1">
      <c r="D16" s="26"/>
      <c r="Q16" s="5">
        <v>10.9626</v>
      </c>
      <c r="AC16" s="937" t="s">
        <v>1812</v>
      </c>
      <c r="AD16" s="937"/>
      <c r="AE16" s="937"/>
      <c r="AF16" s="937"/>
      <c r="AG16" s="937"/>
      <c r="AH16" s="937"/>
      <c r="AI16" s="937"/>
      <c r="AJ16" s="937"/>
      <c r="AK16" s="937"/>
      <c r="AL16" s="937"/>
      <c r="AN16" s="928" t="s">
        <v>1858</v>
      </c>
      <c r="AO16" s="928"/>
      <c r="AP16" s="928"/>
      <c r="AQ16" s="928"/>
      <c r="AR16" s="928"/>
      <c r="AS16" s="928"/>
      <c r="AT16" s="928"/>
      <c r="AU16" s="928"/>
      <c r="AV16" s="928"/>
      <c r="AW16" s="928"/>
      <c r="AY16" s="928" t="s">
        <v>1993</v>
      </c>
      <c r="AZ16" s="928"/>
      <c r="BA16" s="928"/>
      <c r="BB16" s="928"/>
      <c r="BC16" s="928"/>
      <c r="BD16" s="928"/>
      <c r="BE16" s="928"/>
      <c r="BF16" s="928"/>
      <c r="BG16" s="928"/>
      <c r="BH16" s="928"/>
      <c r="BJ16" s="928" t="str">
        <f>+BJ5</f>
        <v>Change in FY2020 Q2</v>
      </c>
      <c r="BK16" s="928"/>
      <c r="BL16" s="928"/>
      <c r="BM16" s="928"/>
      <c r="BN16" s="928"/>
      <c r="BO16" s="928"/>
      <c r="BP16" s="928"/>
      <c r="BQ16" s="928"/>
      <c r="BR16" s="928"/>
      <c r="BS16" s="928"/>
      <c r="BU16" s="928" t="str">
        <f>+BU5</f>
        <v>Change in FY2020 Q3</v>
      </c>
      <c r="BV16" s="928"/>
      <c r="BW16" s="928"/>
      <c r="BX16" s="928"/>
      <c r="BY16" s="928"/>
      <c r="BZ16" s="928"/>
      <c r="CA16" s="928"/>
      <c r="CB16" s="928"/>
      <c r="CC16" s="928"/>
      <c r="CD16" s="928"/>
      <c r="CE16" s="928"/>
      <c r="CF16" s="928"/>
      <c r="CG16" s="928"/>
      <c r="CI16" s="928" t="str">
        <f>+CI5</f>
        <v>Change in FY2020 Q4</v>
      </c>
      <c r="CJ16" s="928"/>
      <c r="CK16" s="928"/>
      <c r="CL16" s="928"/>
      <c r="CM16" s="928"/>
      <c r="CN16" s="928"/>
      <c r="CO16" s="928"/>
      <c r="CP16" s="928"/>
      <c r="CQ16" s="928"/>
      <c r="CR16" s="928"/>
      <c r="CS16" s="928"/>
      <c r="CT16" s="928"/>
      <c r="CU16" s="928"/>
    </row>
    <row r="17" spans="3:99" s="8" customFormat="1" ht="18" customHeight="1">
      <c r="D17" s="797" t="s">
        <v>459</v>
      </c>
      <c r="E17" s="797" t="s">
        <v>460</v>
      </c>
      <c r="F17" s="797" t="s">
        <v>472</v>
      </c>
      <c r="G17" s="797" t="s">
        <v>467</v>
      </c>
      <c r="H17" s="797" t="s">
        <v>461</v>
      </c>
      <c r="I17" s="797" t="s">
        <v>462</v>
      </c>
      <c r="J17" s="797" t="s">
        <v>463</v>
      </c>
      <c r="K17" s="797" t="s">
        <v>464</v>
      </c>
      <c r="L17" s="797" t="s">
        <v>465</v>
      </c>
      <c r="M17" s="797" t="s">
        <v>394</v>
      </c>
      <c r="N17" s="797"/>
      <c r="O17" s="797" t="s">
        <v>466</v>
      </c>
      <c r="P17" s="797" t="s">
        <v>478</v>
      </c>
      <c r="Q17" s="415"/>
      <c r="R17" s="797" t="s">
        <v>467</v>
      </c>
      <c r="S17" s="797" t="s">
        <v>461</v>
      </c>
      <c r="T17" s="797" t="s">
        <v>462</v>
      </c>
      <c r="U17" s="797" t="s">
        <v>463</v>
      </c>
      <c r="V17" s="797" t="s">
        <v>464</v>
      </c>
      <c r="W17" s="797" t="s">
        <v>465</v>
      </c>
      <c r="X17" s="797" t="s">
        <v>395</v>
      </c>
      <c r="Y17" s="797"/>
      <c r="Z17" s="797" t="s">
        <v>466</v>
      </c>
      <c r="AA17" s="797" t="s">
        <v>478</v>
      </c>
      <c r="AB17" s="798"/>
      <c r="AC17" s="797" t="s">
        <v>467</v>
      </c>
      <c r="AD17" s="797" t="s">
        <v>461</v>
      </c>
      <c r="AE17" s="797" t="s">
        <v>462</v>
      </c>
      <c r="AF17" s="797" t="s">
        <v>463</v>
      </c>
      <c r="AG17" s="797" t="s">
        <v>464</v>
      </c>
      <c r="AH17" s="797" t="s">
        <v>465</v>
      </c>
      <c r="AI17" s="797" t="str">
        <f>AI6</f>
        <v>2019 3Q</v>
      </c>
      <c r="AJ17" s="797"/>
      <c r="AK17" s="797" t="s">
        <v>466</v>
      </c>
      <c r="AL17" s="797" t="s">
        <v>478</v>
      </c>
      <c r="AN17" s="797" t="s">
        <v>467</v>
      </c>
      <c r="AO17" s="797" t="s">
        <v>461</v>
      </c>
      <c r="AP17" s="797" t="s">
        <v>462</v>
      </c>
      <c r="AQ17" s="797" t="s">
        <v>463</v>
      </c>
      <c r="AR17" s="797" t="s">
        <v>464</v>
      </c>
      <c r="AS17" s="797" t="s">
        <v>465</v>
      </c>
      <c r="AT17" s="797" t="str">
        <f>AT6</f>
        <v>2019 4Q</v>
      </c>
      <c r="AU17" s="797"/>
      <c r="AV17" s="797" t="s">
        <v>466</v>
      </c>
      <c r="AW17" s="797" t="s">
        <v>478</v>
      </c>
      <c r="AY17" s="797" t="s">
        <v>467</v>
      </c>
      <c r="AZ17" s="797" t="s">
        <v>461</v>
      </c>
      <c r="BA17" s="797" t="s">
        <v>462</v>
      </c>
      <c r="BB17" s="797" t="s">
        <v>463</v>
      </c>
      <c r="BC17" s="797" t="s">
        <v>464</v>
      </c>
      <c r="BD17" s="797" t="s">
        <v>465</v>
      </c>
      <c r="BE17" s="797" t="str">
        <f>BE6</f>
        <v>2019 4Q</v>
      </c>
      <c r="BF17" s="797"/>
      <c r="BG17" s="797" t="s">
        <v>466</v>
      </c>
      <c r="BH17" s="797" t="s">
        <v>478</v>
      </c>
      <c r="BJ17" s="797" t="s">
        <v>467</v>
      </c>
      <c r="BK17" s="797" t="s">
        <v>461</v>
      </c>
      <c r="BL17" s="797" t="s">
        <v>462</v>
      </c>
      <c r="BM17" s="797" t="s">
        <v>463</v>
      </c>
      <c r="BN17" s="797" t="s">
        <v>464</v>
      </c>
      <c r="BO17" s="797" t="s">
        <v>465</v>
      </c>
      <c r="BP17" s="797" t="str">
        <f>BP6</f>
        <v>2019 4Q</v>
      </c>
      <c r="BQ17" s="797"/>
      <c r="BR17" s="797" t="s">
        <v>466</v>
      </c>
      <c r="BS17" s="797" t="s">
        <v>478</v>
      </c>
      <c r="BU17" s="797" t="s">
        <v>467</v>
      </c>
      <c r="BV17" s="797" t="s">
        <v>461</v>
      </c>
      <c r="BW17" s="799" t="s">
        <v>2173</v>
      </c>
      <c r="BX17" s="797" t="s">
        <v>462</v>
      </c>
      <c r="BY17" s="797" t="s">
        <v>463</v>
      </c>
      <c r="BZ17" s="797" t="s">
        <v>464</v>
      </c>
      <c r="CA17" s="797" t="s">
        <v>465</v>
      </c>
      <c r="CB17" s="797" t="s">
        <v>2205</v>
      </c>
      <c r="CC17" s="797" t="s">
        <v>2204</v>
      </c>
      <c r="CD17" s="799" t="s">
        <v>2173</v>
      </c>
      <c r="CE17" s="797"/>
      <c r="CF17" s="797" t="s">
        <v>466</v>
      </c>
      <c r="CG17" s="797" t="s">
        <v>478</v>
      </c>
      <c r="CI17" s="797" t="s">
        <v>467</v>
      </c>
      <c r="CJ17" s="797" t="s">
        <v>461</v>
      </c>
      <c r="CK17" s="799" t="s">
        <v>2173</v>
      </c>
      <c r="CL17" s="797" t="s">
        <v>462</v>
      </c>
      <c r="CM17" s="797" t="s">
        <v>463</v>
      </c>
      <c r="CN17" s="797" t="s">
        <v>464</v>
      </c>
      <c r="CO17" s="797" t="s">
        <v>465</v>
      </c>
      <c r="CP17" s="797" t="s">
        <v>2205</v>
      </c>
      <c r="CQ17" s="797" t="s">
        <v>2204</v>
      </c>
      <c r="CR17" s="799" t="s">
        <v>2173</v>
      </c>
      <c r="CS17" s="797"/>
      <c r="CT17" s="797" t="s">
        <v>466</v>
      </c>
      <c r="CU17" s="797" t="s">
        <v>478</v>
      </c>
    </row>
    <row r="18" spans="3:99" s="8" customFormat="1" ht="18" customHeight="1">
      <c r="D18" s="797" t="s">
        <v>473</v>
      </c>
      <c r="E18" s="797" t="s">
        <v>456</v>
      </c>
      <c r="F18" s="797"/>
      <c r="G18" s="797"/>
      <c r="H18" s="797"/>
      <c r="I18" s="797"/>
      <c r="J18" s="797"/>
      <c r="K18" s="797"/>
      <c r="L18" s="797" t="s">
        <v>535</v>
      </c>
      <c r="M18" s="801">
        <v>10.1318</v>
      </c>
      <c r="N18" s="801"/>
      <c r="O18" s="797"/>
      <c r="P18" s="797"/>
      <c r="Q18" s="415"/>
      <c r="R18" s="797"/>
      <c r="S18" s="797"/>
      <c r="T18" s="797"/>
      <c r="U18" s="797"/>
      <c r="V18" s="797"/>
      <c r="W18" s="797" t="s">
        <v>535</v>
      </c>
      <c r="X18" s="801">
        <v>10.282400000000001</v>
      </c>
      <c r="Y18" s="801"/>
      <c r="Z18" s="797"/>
      <c r="AA18" s="797"/>
      <c r="AB18" s="798"/>
      <c r="AC18" s="797"/>
      <c r="AD18" s="797"/>
      <c r="AE18" s="797"/>
      <c r="AF18" s="797"/>
      <c r="AG18" s="797"/>
      <c r="AH18" s="797" t="s">
        <v>535</v>
      </c>
      <c r="AI18" s="801">
        <v>0</v>
      </c>
      <c r="AJ18" s="801"/>
      <c r="AK18" s="797"/>
      <c r="AL18" s="797"/>
      <c r="AN18" s="797"/>
      <c r="AO18" s="797"/>
      <c r="AP18" s="797"/>
      <c r="AQ18" s="797"/>
      <c r="AR18" s="797"/>
      <c r="AS18" s="797" t="s">
        <v>535</v>
      </c>
      <c r="AT18" s="801">
        <v>0</v>
      </c>
      <c r="AU18" s="801"/>
      <c r="AV18" s="797"/>
      <c r="AW18" s="797"/>
      <c r="AY18" s="797"/>
      <c r="AZ18" s="797"/>
      <c r="BA18" s="797"/>
      <c r="BB18" s="797"/>
      <c r="BC18" s="797"/>
      <c r="BD18" s="797" t="s">
        <v>535</v>
      </c>
      <c r="BE18" s="801">
        <v>0</v>
      </c>
      <c r="BF18" s="801"/>
      <c r="BG18" s="797"/>
      <c r="BH18" s="797"/>
      <c r="BJ18" s="797"/>
      <c r="BK18" s="797"/>
      <c r="BL18" s="797"/>
      <c r="BM18" s="797"/>
      <c r="BN18" s="797"/>
      <c r="BO18" s="797" t="s">
        <v>535</v>
      </c>
      <c r="BP18" s="801">
        <v>0</v>
      </c>
      <c r="BQ18" s="801"/>
      <c r="BR18" s="797"/>
      <c r="BS18" s="797"/>
      <c r="BU18" s="797"/>
      <c r="BV18" s="797"/>
      <c r="BW18" s="797"/>
      <c r="BX18" s="797"/>
      <c r="BY18" s="797"/>
      <c r="BZ18" s="797"/>
      <c r="CA18" s="797" t="s">
        <v>535</v>
      </c>
      <c r="CB18" s="797"/>
      <c r="CC18" s="801">
        <v>0</v>
      </c>
      <c r="CD18" s="801"/>
      <c r="CE18" s="801"/>
      <c r="CF18" s="797"/>
      <c r="CG18" s="797"/>
      <c r="CI18" s="797"/>
      <c r="CJ18" s="797"/>
      <c r="CK18" s="797"/>
      <c r="CL18" s="797"/>
      <c r="CM18" s="797"/>
      <c r="CN18" s="797"/>
      <c r="CO18" s="797" t="s">
        <v>535</v>
      </c>
      <c r="CP18" s="797"/>
      <c r="CQ18" s="801">
        <v>0</v>
      </c>
      <c r="CR18" s="801"/>
      <c r="CS18" s="801"/>
      <c r="CT18" s="797"/>
      <c r="CU18" s="797"/>
    </row>
    <row r="19" spans="3:99" ht="18" customHeight="1">
      <c r="C19" s="5" t="s">
        <v>2202</v>
      </c>
      <c r="D19" s="5" t="s">
        <v>15</v>
      </c>
      <c r="E19" s="5" t="s">
        <v>2199</v>
      </c>
      <c r="F19" s="253" t="s">
        <v>474</v>
      </c>
      <c r="G19" s="5">
        <v>21748156283</v>
      </c>
      <c r="H19" s="5">
        <v>21748156283</v>
      </c>
      <c r="L19" s="5">
        <v>-207501911</v>
      </c>
      <c r="M19" s="5">
        <f>SUM(H19:L19)</f>
        <v>21540654372</v>
      </c>
      <c r="O19" s="5">
        <f>M19-H19</f>
        <v>-207501911</v>
      </c>
      <c r="P19" s="253" t="s">
        <v>477</v>
      </c>
      <c r="Q19" s="416"/>
      <c r="R19" s="5">
        <v>21748156283</v>
      </c>
      <c r="S19" s="5">
        <f>M19</f>
        <v>21540654372</v>
      </c>
      <c r="W19" s="5">
        <v>320182253</v>
      </c>
      <c r="X19" s="5">
        <f>SUM(S19:W19)</f>
        <v>21860836625</v>
      </c>
      <c r="Z19" s="5">
        <f>X19-S19</f>
        <v>320182253</v>
      </c>
      <c r="AA19" s="253"/>
      <c r="AB19" s="253"/>
      <c r="AC19" s="5">
        <f>R19</f>
        <v>21748156283</v>
      </c>
      <c r="AD19" s="5">
        <f>M19</f>
        <v>21540654372</v>
      </c>
      <c r="AE19" s="5">
        <f t="shared" ref="AE19:AG23" si="3">T19</f>
        <v>0</v>
      </c>
      <c r="AF19" s="5">
        <f t="shared" si="3"/>
        <v>0</v>
      </c>
      <c r="AG19" s="5">
        <f t="shared" si="3"/>
        <v>0</v>
      </c>
      <c r="AH19" s="5">
        <v>2130721472</v>
      </c>
      <c r="AI19" s="5">
        <v>23671375844</v>
      </c>
      <c r="AK19" s="5">
        <f>AI19-AD19</f>
        <v>2130721472</v>
      </c>
      <c r="AL19" s="253"/>
      <c r="AN19" s="5">
        <f>AC19</f>
        <v>21748156283</v>
      </c>
      <c r="AO19" s="5">
        <f>M19</f>
        <v>21540654372</v>
      </c>
      <c r="AP19" s="5">
        <f>AE19</f>
        <v>0</v>
      </c>
      <c r="AQ19" s="5">
        <f>ROUND(AQ7*AP28,0)</f>
        <v>-20593687255</v>
      </c>
      <c r="AR19" s="5">
        <f>AG19</f>
        <v>0</v>
      </c>
      <c r="AS19" s="5">
        <v>1069187616</v>
      </c>
      <c r="AT19" s="5">
        <f>ROUND(AT7*AP28,0)</f>
        <v>2016154733</v>
      </c>
      <c r="AV19" s="5">
        <f>AT19-AO19</f>
        <v>-19524499639</v>
      </c>
      <c r="AW19" s="253" t="s">
        <v>1859</v>
      </c>
      <c r="AX19" s="4" t="b">
        <f>SUM(AD19:AH19)-AI19=0</f>
        <v>1</v>
      </c>
      <c r="AY19" s="5">
        <f>AC19</f>
        <v>21748156283</v>
      </c>
      <c r="AZ19" s="5">
        <f>+AT19</f>
        <v>2016154733</v>
      </c>
      <c r="BA19" s="5">
        <f>AE19</f>
        <v>0</v>
      </c>
      <c r="BB19" s="5">
        <f>ROUND(BB7*BA28,0)</f>
        <v>0</v>
      </c>
      <c r="BC19" s="5">
        <f>AG19</f>
        <v>0</v>
      </c>
      <c r="BD19" s="5">
        <f>+BE19-BC19-BB19-BA19-AZ19</f>
        <v>127702881</v>
      </c>
      <c r="BE19" s="5">
        <f>ROUND(BE7*BA28,0)</f>
        <v>2143857614</v>
      </c>
      <c r="BG19" s="5">
        <f>BE19-AZ19</f>
        <v>127702881</v>
      </c>
      <c r="BH19" s="253" t="s">
        <v>1859</v>
      </c>
      <c r="BI19" s="4" t="b">
        <f>SUM(AO19:AS19)-AT19=0</f>
        <v>1</v>
      </c>
      <c r="BJ19" s="5">
        <v>21748156283</v>
      </c>
      <c r="BK19" s="5">
        <v>2016154733</v>
      </c>
      <c r="BL19" s="5">
        <v>0</v>
      </c>
      <c r="BM19" s="5">
        <v>0</v>
      </c>
      <c r="BN19" s="5">
        <v>0</v>
      </c>
      <c r="BO19" s="5">
        <v>99682563</v>
      </c>
      <c r="BP19" s="5">
        <v>2115837296</v>
      </c>
      <c r="BR19" s="5">
        <v>99682563</v>
      </c>
      <c r="BS19" s="253" t="s">
        <v>1859</v>
      </c>
      <c r="BU19" s="5">
        <f>+BV19-BW19</f>
        <v>22609841988</v>
      </c>
      <c r="BV19" s="5">
        <f>ROUND(BV7*$BX$29,)</f>
        <v>2016154733</v>
      </c>
      <c r="BW19" s="5">
        <f>ROUND(BW7*$BX$29,)</f>
        <v>-20593687255</v>
      </c>
      <c r="BX19" s="5">
        <f>AP19</f>
        <v>0</v>
      </c>
      <c r="BY19" s="5">
        <f>ROUND(BY7*BX27,0)</f>
        <v>0</v>
      </c>
      <c r="BZ19" s="5">
        <f t="shared" ref="BZ19:BZ24" si="4">AR19</f>
        <v>0</v>
      </c>
      <c r="CA19" s="5">
        <f>+CC19-BZ19-BY19-BX19-BV19</f>
        <v>92118216</v>
      </c>
      <c r="CB19" s="5">
        <f>ROUND(CB7*$BX$28,)</f>
        <v>23642886853</v>
      </c>
      <c r="CC19" s="5">
        <f>CB19+CD19</f>
        <v>2108272949</v>
      </c>
      <c r="CD19" s="5">
        <f>ROUND(CD7*BX28,0)</f>
        <v>-21534613904</v>
      </c>
      <c r="CF19" s="5">
        <f>CC19-BV19</f>
        <v>92118216</v>
      </c>
      <c r="CG19" s="253" t="s">
        <v>1859</v>
      </c>
      <c r="CI19" s="5">
        <f t="shared" ref="CI19:CI24" si="5">BU19</f>
        <v>22609841988</v>
      </c>
      <c r="CJ19" s="5">
        <f t="shared" ref="CJ19:CJ24" si="6">BV19</f>
        <v>2016154733</v>
      </c>
      <c r="CK19" s="5">
        <f>ROUND(CK7*$CL$29,)</f>
        <v>-20593687255</v>
      </c>
      <c r="CO19" s="5">
        <f>+CQ19-CN19-CM19-CL19-CJ19</f>
        <v>-17460564</v>
      </c>
      <c r="CP19" s="493">
        <f>ROUND(CP7*$CL$28,)</f>
        <v>22414033319</v>
      </c>
      <c r="CQ19" s="5">
        <f>CP19+CR19</f>
        <v>1998694169</v>
      </c>
      <c r="CR19" s="493">
        <f>ROUND(CR7*CL28,0)</f>
        <v>-20415339150</v>
      </c>
      <c r="CT19" s="5">
        <f>CQ19-CJ19</f>
        <v>-17460564</v>
      </c>
      <c r="CU19" s="253" t="s">
        <v>1859</v>
      </c>
    </row>
    <row r="20" spans="3:99" ht="18" customHeight="1">
      <c r="C20" s="5" t="s">
        <v>2202</v>
      </c>
      <c r="D20" s="5" t="s">
        <v>15</v>
      </c>
      <c r="E20" s="5" t="s">
        <v>2200</v>
      </c>
      <c r="F20" s="253" t="s">
        <v>474</v>
      </c>
      <c r="G20" s="5">
        <v>19842800</v>
      </c>
      <c r="H20" s="5">
        <v>19842800</v>
      </c>
      <c r="M20" s="5">
        <f>SUM(H20:L20)</f>
        <v>19842800</v>
      </c>
      <c r="O20" s="5">
        <f>M20-H20</f>
        <v>0</v>
      </c>
      <c r="P20" s="253"/>
      <c r="Q20" s="416"/>
      <c r="R20" s="5">
        <v>19842800</v>
      </c>
      <c r="S20" s="5">
        <f>M20</f>
        <v>19842800</v>
      </c>
      <c r="X20" s="5">
        <f>SUM(S20:W20)</f>
        <v>19842800</v>
      </c>
      <c r="Z20" s="5">
        <f>X20-S20</f>
        <v>0</v>
      </c>
      <c r="AA20" s="253"/>
      <c r="AB20" s="253"/>
      <c r="AC20" s="5">
        <f>R20</f>
        <v>19842800</v>
      </c>
      <c r="AD20" s="5">
        <f>S20</f>
        <v>19842800</v>
      </c>
      <c r="AE20" s="5">
        <f t="shared" si="3"/>
        <v>0</v>
      </c>
      <c r="AF20" s="5">
        <f t="shared" si="3"/>
        <v>0</v>
      </c>
      <c r="AG20" s="5">
        <f t="shared" si="3"/>
        <v>0</v>
      </c>
      <c r="AH20" s="5">
        <f>W20</f>
        <v>0</v>
      </c>
      <c r="AI20" s="5">
        <f>AI8</f>
        <v>19842800</v>
      </c>
      <c r="AK20" s="5">
        <f>AI20-AD20</f>
        <v>0</v>
      </c>
      <c r="AL20" s="253"/>
      <c r="AN20" s="5">
        <f>AC20</f>
        <v>19842800</v>
      </c>
      <c r="AO20" s="5">
        <f>AD20</f>
        <v>19842800</v>
      </c>
      <c r="AP20" s="5">
        <f>AE20</f>
        <v>0</v>
      </c>
      <c r="AQ20" s="5">
        <f>AF20</f>
        <v>0</v>
      </c>
      <c r="AR20" s="5">
        <f>AG20</f>
        <v>0</v>
      </c>
      <c r="AS20" s="5">
        <f>AH20</f>
        <v>0</v>
      </c>
      <c r="AT20" s="5">
        <f>AT8</f>
        <v>19842800</v>
      </c>
      <c r="AV20" s="5">
        <f>AT20-AO20</f>
        <v>0</v>
      </c>
      <c r="AW20" s="253"/>
      <c r="AX20" s="4" t="b">
        <f>SUM(AD20:AH20)=AI20</f>
        <v>1</v>
      </c>
      <c r="AY20" s="5">
        <f>AC20</f>
        <v>19842800</v>
      </c>
      <c r="AZ20" s="5">
        <f>+AT20</f>
        <v>19842800</v>
      </c>
      <c r="BA20" s="5">
        <f>AE20</f>
        <v>0</v>
      </c>
      <c r="BB20" s="5">
        <f>AF20</f>
        <v>0</v>
      </c>
      <c r="BC20" s="5">
        <f>AG20</f>
        <v>0</v>
      </c>
      <c r="BD20" s="5">
        <f>AH20</f>
        <v>0</v>
      </c>
      <c r="BE20" s="5">
        <f>BE8</f>
        <v>19842800</v>
      </c>
      <c r="BG20" s="5">
        <f>BE20-AZ20</f>
        <v>0</v>
      </c>
      <c r="BH20" s="253"/>
      <c r="BI20" s="4" t="b">
        <f>SUM(AO20:AS20)=AT20</f>
        <v>1</v>
      </c>
      <c r="BJ20" s="5">
        <v>19842800</v>
      </c>
      <c r="BK20" s="5">
        <v>19842800</v>
      </c>
      <c r="BL20" s="5">
        <v>0</v>
      </c>
      <c r="BM20" s="5">
        <v>0</v>
      </c>
      <c r="BN20" s="5">
        <v>0</v>
      </c>
      <c r="BO20" s="5">
        <v>0</v>
      </c>
      <c r="BP20" s="5">
        <v>19842800</v>
      </c>
      <c r="BR20" s="5">
        <v>0</v>
      </c>
      <c r="BS20" s="253"/>
      <c r="BU20" s="5">
        <f>+BV20-BW20</f>
        <v>19842800</v>
      </c>
      <c r="BV20" s="5">
        <f>+AT20</f>
        <v>19842800</v>
      </c>
      <c r="BW20" s="5">
        <f>+BW8</f>
        <v>0</v>
      </c>
      <c r="BX20" s="5">
        <f>AP20</f>
        <v>0</v>
      </c>
      <c r="BY20" s="5">
        <f>AQ20</f>
        <v>0</v>
      </c>
      <c r="BZ20" s="5">
        <f t="shared" si="4"/>
        <v>0</v>
      </c>
      <c r="CA20" s="5">
        <f>AS20</f>
        <v>0</v>
      </c>
      <c r="CB20" s="5">
        <f>+CB8</f>
        <v>19842800</v>
      </c>
      <c r="CC20" s="5">
        <f>SUM(BV20:CA20)-BW20</f>
        <v>19842800</v>
      </c>
      <c r="CD20" s="5">
        <f>+CD8</f>
        <v>0</v>
      </c>
      <c r="CF20" s="5">
        <f>CC20-BV20</f>
        <v>0</v>
      </c>
      <c r="CG20" s="253"/>
      <c r="CI20" s="5">
        <f t="shared" si="5"/>
        <v>19842800</v>
      </c>
      <c r="CJ20" s="5">
        <f t="shared" si="6"/>
        <v>19842800</v>
      </c>
      <c r="CK20" s="5">
        <f>+CK8</f>
        <v>0</v>
      </c>
      <c r="CO20" s="5">
        <f>BG20</f>
        <v>0</v>
      </c>
      <c r="CP20" s="5">
        <f>+CP8</f>
        <v>19842800</v>
      </c>
      <c r="CQ20" s="5">
        <f>SUM(CJ20:CO20)-CK20</f>
        <v>19842800</v>
      </c>
      <c r="CR20" s="5">
        <f>+CR8</f>
        <v>0</v>
      </c>
      <c r="CT20" s="5">
        <f>CQ20-CJ20</f>
        <v>0</v>
      </c>
      <c r="CU20" s="253"/>
    </row>
    <row r="21" spans="3:99" ht="18" customHeight="1">
      <c r="C21" s="5" t="s">
        <v>2202</v>
      </c>
      <c r="D21" s="5" t="s">
        <v>15</v>
      </c>
      <c r="E21" s="5" t="s">
        <v>2201</v>
      </c>
      <c r="F21" s="253" t="s">
        <v>474</v>
      </c>
      <c r="G21" s="5">
        <v>297103293</v>
      </c>
      <c r="H21" s="5">
        <v>297103293</v>
      </c>
      <c r="J21" s="5">
        <v>-294995310</v>
      </c>
      <c r="L21" s="5">
        <v>-2107983</v>
      </c>
      <c r="M21" s="5">
        <f>SUM(H21:L21)</f>
        <v>0</v>
      </c>
      <c r="O21" s="5">
        <f>M21-H21</f>
        <v>-297103293</v>
      </c>
      <c r="P21" s="253" t="s">
        <v>481</v>
      </c>
      <c r="Q21" s="253"/>
      <c r="R21" s="5">
        <v>297103293</v>
      </c>
      <c r="S21" s="5">
        <f>M21</f>
        <v>0</v>
      </c>
      <c r="X21" s="5">
        <f>SUM(S21:W21)</f>
        <v>0</v>
      </c>
      <c r="Z21" s="5">
        <f>X21-S21</f>
        <v>0</v>
      </c>
      <c r="AA21" s="253"/>
      <c r="AB21" s="253"/>
      <c r="AC21" s="5">
        <f>R21</f>
        <v>297103293</v>
      </c>
      <c r="AD21" s="5">
        <f>S21</f>
        <v>0</v>
      </c>
      <c r="AE21" s="5">
        <f>T21</f>
        <v>0</v>
      </c>
      <c r="AF21" s="5">
        <f>U21</f>
        <v>0</v>
      </c>
      <c r="AG21" s="5">
        <f>V21</f>
        <v>0</v>
      </c>
      <c r="AH21" s="5">
        <f>W21</f>
        <v>0</v>
      </c>
      <c r="AI21" s="5">
        <f>SUM(AD21:AH21)</f>
        <v>0</v>
      </c>
      <c r="AK21" s="5">
        <f>AI21-AD21</f>
        <v>0</v>
      </c>
      <c r="AL21" s="253"/>
      <c r="AN21" s="5">
        <f>AC21</f>
        <v>297103293</v>
      </c>
      <c r="AO21" s="5">
        <f>AD21</f>
        <v>0</v>
      </c>
      <c r="AP21" s="5">
        <f>AE21</f>
        <v>0</v>
      </c>
      <c r="AQ21" s="5">
        <f>AF21</f>
        <v>0</v>
      </c>
      <c r="AR21" s="5">
        <f>AG21</f>
        <v>0</v>
      </c>
      <c r="AS21" s="5">
        <f>AH21</f>
        <v>0</v>
      </c>
      <c r="AT21" s="5">
        <f>SUM(AO21:AS21)</f>
        <v>0</v>
      </c>
      <c r="AV21" s="5">
        <f>AT21-AO21</f>
        <v>0</v>
      </c>
      <c r="AW21" s="253"/>
      <c r="AX21" s="4" t="b">
        <f>SUM(AD21:AH21)=AI21</f>
        <v>1</v>
      </c>
      <c r="AY21" s="5">
        <f>AC21</f>
        <v>297103293</v>
      </c>
      <c r="AZ21" s="5">
        <f>+AT21</f>
        <v>0</v>
      </c>
      <c r="BA21" s="5">
        <f>AE21</f>
        <v>0</v>
      </c>
      <c r="BB21" s="5">
        <f>AF21</f>
        <v>0</v>
      </c>
      <c r="BC21" s="5">
        <f>AG21</f>
        <v>0</v>
      </c>
      <c r="BD21" s="5">
        <f>AH21</f>
        <v>0</v>
      </c>
      <c r="BE21" s="5">
        <f>SUM(AZ21:BD21)</f>
        <v>0</v>
      </c>
      <c r="BG21" s="5">
        <f>BE21-AZ21</f>
        <v>0</v>
      </c>
      <c r="BH21" s="253"/>
      <c r="BI21" s="4" t="b">
        <f>SUM(AO21:AS21)=AT21</f>
        <v>1</v>
      </c>
      <c r="BJ21" s="5">
        <v>297103293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R21" s="5">
        <v>0</v>
      </c>
      <c r="BS21" s="253"/>
      <c r="BU21" s="5">
        <f>+BV21-BW21</f>
        <v>297103293</v>
      </c>
      <c r="BV21" s="5">
        <f>+AT21</f>
        <v>0</v>
      </c>
      <c r="BW21" s="5">
        <f>+BW9</f>
        <v>-297103293</v>
      </c>
      <c r="BX21" s="5">
        <f>AP21</f>
        <v>0</v>
      </c>
      <c r="BY21" s="5">
        <f>AQ21</f>
        <v>0</v>
      </c>
      <c r="BZ21" s="5">
        <f>AR21</f>
        <v>0</v>
      </c>
      <c r="CA21" s="5">
        <f>AS21</f>
        <v>0</v>
      </c>
      <c r="CB21" s="5">
        <f>+CB9</f>
        <v>297103293</v>
      </c>
      <c r="CC21" s="5">
        <f>SUM(BV21:CA21)-BW21</f>
        <v>0</v>
      </c>
      <c r="CD21" s="5">
        <f>+CD9</f>
        <v>-297103293</v>
      </c>
      <c r="CF21" s="5">
        <f>CC21-BV21</f>
        <v>0</v>
      </c>
      <c r="CG21" s="253"/>
      <c r="CI21" s="5">
        <f>BU21</f>
        <v>297103293</v>
      </c>
      <c r="CJ21" s="5">
        <f>BV21</f>
        <v>0</v>
      </c>
      <c r="CK21" s="5">
        <f>+CK9</f>
        <v>-297103293</v>
      </c>
      <c r="CO21" s="5">
        <f>BG21</f>
        <v>0</v>
      </c>
      <c r="CP21" s="5">
        <f>+CP9</f>
        <v>297103293</v>
      </c>
      <c r="CQ21" s="5">
        <f>SUM(CJ21:CO21)-CK21</f>
        <v>0</v>
      </c>
      <c r="CR21" s="5">
        <f>+CR9</f>
        <v>-297103293</v>
      </c>
      <c r="CT21" s="5">
        <f>CQ21-CJ21</f>
        <v>0</v>
      </c>
      <c r="CU21" s="253"/>
    </row>
    <row r="22" spans="3:99" ht="18" customHeight="1">
      <c r="C22" s="5" t="s">
        <v>2203</v>
      </c>
      <c r="D22" s="5" t="s">
        <v>15</v>
      </c>
      <c r="E22" s="5" t="s">
        <v>480</v>
      </c>
      <c r="F22" s="253" t="s">
        <v>474</v>
      </c>
      <c r="G22" s="5">
        <v>13175822804</v>
      </c>
      <c r="H22" s="5">
        <f>G22</f>
        <v>13175822804</v>
      </c>
      <c r="J22" s="5">
        <v>-13175822804</v>
      </c>
      <c r="M22" s="5">
        <f>SUM(H22:L22)</f>
        <v>0</v>
      </c>
      <c r="O22" s="5">
        <f>M22-H22</f>
        <v>-13175822804</v>
      </c>
      <c r="P22" s="253" t="s">
        <v>469</v>
      </c>
      <c r="Q22" s="416"/>
      <c r="R22" s="5">
        <v>13175822804</v>
      </c>
      <c r="S22" s="5">
        <f>M22</f>
        <v>0</v>
      </c>
      <c r="X22" s="5">
        <f>SUM(S22:W22)</f>
        <v>0</v>
      </c>
      <c r="Z22" s="5">
        <f>X22-S22</f>
        <v>0</v>
      </c>
      <c r="AA22" s="253"/>
      <c r="AB22" s="253"/>
      <c r="AC22" s="5">
        <f>R22</f>
        <v>13175822804</v>
      </c>
      <c r="AD22" s="5">
        <f>S22</f>
        <v>0</v>
      </c>
      <c r="AE22" s="5">
        <f t="shared" si="3"/>
        <v>0</v>
      </c>
      <c r="AF22" s="5">
        <f t="shared" si="3"/>
        <v>0</v>
      </c>
      <c r="AG22" s="5">
        <f t="shared" si="3"/>
        <v>0</v>
      </c>
      <c r="AH22" s="5">
        <f>W22</f>
        <v>0</v>
      </c>
      <c r="AI22" s="5">
        <f>SUM(AD22:AH22)</f>
        <v>0</v>
      </c>
      <c r="AK22" s="5">
        <f>AI22-AD22</f>
        <v>0</v>
      </c>
      <c r="AL22" s="253"/>
      <c r="AN22" s="5">
        <f>AC22</f>
        <v>13175822804</v>
      </c>
      <c r="AO22" s="5">
        <f>AD22</f>
        <v>0</v>
      </c>
      <c r="AP22" s="5">
        <f>AE22</f>
        <v>0</v>
      </c>
      <c r="AQ22" s="5">
        <f>AF22</f>
        <v>0</v>
      </c>
      <c r="AR22" s="5">
        <f>AG22</f>
        <v>0</v>
      </c>
      <c r="AS22" s="5">
        <f>AH22</f>
        <v>0</v>
      </c>
      <c r="AT22" s="5">
        <f>SUM(AO22:AS22)</f>
        <v>0</v>
      </c>
      <c r="AV22" s="5">
        <f>AT22-AO22</f>
        <v>0</v>
      </c>
      <c r="AW22" s="253"/>
      <c r="AX22" s="4" t="b">
        <f>SUM(AD22:AH22)=AI22</f>
        <v>1</v>
      </c>
      <c r="AY22" s="5">
        <f>AC22</f>
        <v>13175822804</v>
      </c>
      <c r="AZ22" s="5">
        <f>+AT22</f>
        <v>0</v>
      </c>
      <c r="BA22" s="5">
        <f>AE22</f>
        <v>0</v>
      </c>
      <c r="BB22" s="5">
        <f>AF22</f>
        <v>0</v>
      </c>
      <c r="BC22" s="5">
        <f>AG22</f>
        <v>0</v>
      </c>
      <c r="BD22" s="5">
        <f>AH22</f>
        <v>0</v>
      </c>
      <c r="BE22" s="5">
        <f>SUM(AZ22:BD22)</f>
        <v>0</v>
      </c>
      <c r="BG22" s="5">
        <f>BE22-AZ22</f>
        <v>0</v>
      </c>
      <c r="BH22" s="253"/>
      <c r="BI22" s="4" t="b">
        <f>SUM(AO22:AS22)=AT22</f>
        <v>1</v>
      </c>
      <c r="BJ22" s="5">
        <v>13175822804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R22" s="5">
        <v>0</v>
      </c>
      <c r="BS22" s="253"/>
      <c r="BU22" s="5">
        <f>+BV22-BW22</f>
        <v>13175822804</v>
      </c>
      <c r="BV22" s="5">
        <f>+AT22</f>
        <v>0</v>
      </c>
      <c r="BW22" s="5">
        <f>+BW10</f>
        <v>-13175822804</v>
      </c>
      <c r="BX22" s="5">
        <f>AP22</f>
        <v>0</v>
      </c>
      <c r="BY22" s="5">
        <f>AQ22</f>
        <v>0</v>
      </c>
      <c r="BZ22" s="5">
        <f t="shared" si="4"/>
        <v>0</v>
      </c>
      <c r="CA22" s="5">
        <f>AS22</f>
        <v>0</v>
      </c>
      <c r="CB22" s="5">
        <f>+CB10</f>
        <v>13175822804</v>
      </c>
      <c r="CC22" s="5">
        <f>SUM(BV22:CA22)-BW22</f>
        <v>0</v>
      </c>
      <c r="CD22" s="5">
        <f>+CD10</f>
        <v>-13175822804</v>
      </c>
      <c r="CF22" s="5">
        <f>CC22-BV22</f>
        <v>0</v>
      </c>
      <c r="CG22" s="253"/>
      <c r="CI22" s="5">
        <f t="shared" si="5"/>
        <v>13175822804</v>
      </c>
      <c r="CJ22" s="5">
        <f t="shared" si="6"/>
        <v>0</v>
      </c>
      <c r="CK22" s="5">
        <f>+CK10</f>
        <v>-13175822804</v>
      </c>
      <c r="CO22" s="5">
        <f>BG22</f>
        <v>0</v>
      </c>
      <c r="CP22" s="5">
        <f>+CP10</f>
        <v>13175822804</v>
      </c>
      <c r="CQ22" s="5">
        <f>SUM(CJ22:CO22)-CK22</f>
        <v>0</v>
      </c>
      <c r="CR22" s="5">
        <f>+CR10</f>
        <v>-13175822804</v>
      </c>
      <c r="CT22" s="5">
        <f>CQ22-CJ22</f>
        <v>0</v>
      </c>
      <c r="CU22" s="253"/>
    </row>
    <row r="23" spans="3:99" ht="18" customHeight="1">
      <c r="C23" s="5" t="s">
        <v>2203</v>
      </c>
      <c r="D23" s="5" t="s">
        <v>15</v>
      </c>
      <c r="E23" s="5" t="s">
        <v>216</v>
      </c>
      <c r="F23" s="253" t="s">
        <v>474</v>
      </c>
      <c r="G23" s="5">
        <v>4096993217</v>
      </c>
      <c r="H23" s="5">
        <v>0</v>
      </c>
      <c r="I23" s="5">
        <v>4096993217</v>
      </c>
      <c r="J23" s="5">
        <v>0</v>
      </c>
      <c r="M23" s="5">
        <f>SUM(H23:L23)</f>
        <v>4096993217</v>
      </c>
      <c r="O23" s="5">
        <f>M23-H23</f>
        <v>4096993217</v>
      </c>
      <c r="P23" s="253" t="s">
        <v>470</v>
      </c>
      <c r="Q23" s="253"/>
      <c r="R23" s="5">
        <v>4096993217</v>
      </c>
      <c r="S23" s="5">
        <f>M23</f>
        <v>4096993217</v>
      </c>
      <c r="T23" s="5">
        <f>-S23</f>
        <v>-4096993217</v>
      </c>
      <c r="X23" s="5">
        <f>SUM(S23:W23)</f>
        <v>0</v>
      </c>
      <c r="Z23" s="5">
        <f>X23-S23</f>
        <v>-4096993217</v>
      </c>
      <c r="AA23" s="253" t="s">
        <v>1588</v>
      </c>
      <c r="AB23" s="253"/>
      <c r="AC23" s="5">
        <f>R23</f>
        <v>4096993217</v>
      </c>
      <c r="AD23" s="5">
        <f>S23</f>
        <v>4096993217</v>
      </c>
      <c r="AE23" s="5">
        <f t="shared" si="3"/>
        <v>-4096993217</v>
      </c>
      <c r="AF23" s="5">
        <f t="shared" si="3"/>
        <v>0</v>
      </c>
      <c r="AG23" s="5">
        <f t="shared" si="3"/>
        <v>0</v>
      </c>
      <c r="AH23" s="5">
        <f>W23</f>
        <v>0</v>
      </c>
      <c r="AI23" s="5">
        <f>SUM(AD23:AH23)</f>
        <v>0</v>
      </c>
      <c r="AK23" s="5">
        <f>AI23-AD23</f>
        <v>-4096993217</v>
      </c>
      <c r="AL23" s="253" t="s">
        <v>1588</v>
      </c>
      <c r="AN23" s="5">
        <f>AC23</f>
        <v>4096993217</v>
      </c>
      <c r="AO23" s="5">
        <f>AD23</f>
        <v>4096993217</v>
      </c>
      <c r="AP23" s="5">
        <f>AE23</f>
        <v>-4096993217</v>
      </c>
      <c r="AQ23" s="5">
        <f>AF23</f>
        <v>0</v>
      </c>
      <c r="AR23" s="5">
        <f>AG23</f>
        <v>0</v>
      </c>
      <c r="AS23" s="5">
        <f>AH23</f>
        <v>0</v>
      </c>
      <c r="AT23" s="5">
        <f>SUM(AO23:AS23)</f>
        <v>0</v>
      </c>
      <c r="AV23" s="5">
        <f>AT23-AO23</f>
        <v>-4096993217</v>
      </c>
      <c r="AW23" s="253" t="s">
        <v>1588</v>
      </c>
      <c r="AX23" s="4" t="b">
        <f>SUM(AD23:AH23)=AI23</f>
        <v>1</v>
      </c>
      <c r="AY23" s="5">
        <f>AC23</f>
        <v>4096993217</v>
      </c>
      <c r="AZ23" s="5">
        <f>+AT23</f>
        <v>0</v>
      </c>
      <c r="BB23" s="5">
        <f>AF23</f>
        <v>0</v>
      </c>
      <c r="BC23" s="5">
        <f>AG23</f>
        <v>0</v>
      </c>
      <c r="BD23" s="5">
        <f>AH23</f>
        <v>0</v>
      </c>
      <c r="BE23" s="5">
        <f>SUM(AZ23:BD23)</f>
        <v>0</v>
      </c>
      <c r="BG23" s="5">
        <f>BE23-AZ23</f>
        <v>0</v>
      </c>
      <c r="BH23" s="253" t="s">
        <v>1588</v>
      </c>
      <c r="BI23" s="4" t="b">
        <f>SUM(AO23:AS23)=AT23</f>
        <v>1</v>
      </c>
      <c r="BJ23" s="5">
        <v>4096993217</v>
      </c>
      <c r="BK23" s="5">
        <v>0</v>
      </c>
      <c r="BM23" s="5">
        <v>0</v>
      </c>
      <c r="BN23" s="5">
        <v>0</v>
      </c>
      <c r="BO23" s="5">
        <v>0</v>
      </c>
      <c r="BP23" s="5">
        <v>0</v>
      </c>
      <c r="BR23" s="5">
        <v>0</v>
      </c>
      <c r="BS23" s="253" t="s">
        <v>1588</v>
      </c>
      <c r="BU23" s="5">
        <f>+BV23-BW23</f>
        <v>4096993217</v>
      </c>
      <c r="BV23" s="5">
        <v>4096993217</v>
      </c>
      <c r="BW23" s="5">
        <f>+BW11</f>
        <v>0</v>
      </c>
      <c r="BY23" s="5">
        <f>AQ23</f>
        <v>0</v>
      </c>
      <c r="BZ23" s="5">
        <f t="shared" si="4"/>
        <v>0</v>
      </c>
      <c r="CA23" s="5">
        <f>AS23</f>
        <v>0</v>
      </c>
      <c r="CB23" s="5">
        <f>+CB11</f>
        <v>4096993217</v>
      </c>
      <c r="CC23" s="5">
        <f>SUM(BV23:CA23)-BW23</f>
        <v>4096993217</v>
      </c>
      <c r="CD23" s="5">
        <f>+CD11</f>
        <v>0</v>
      </c>
      <c r="CF23" s="5">
        <f>CC23-BV23</f>
        <v>0</v>
      </c>
      <c r="CG23" s="253" t="s">
        <v>1588</v>
      </c>
      <c r="CI23" s="5">
        <f t="shared" si="5"/>
        <v>4096993217</v>
      </c>
      <c r="CJ23" s="5">
        <f t="shared" si="6"/>
        <v>4096993217</v>
      </c>
      <c r="CK23" s="5">
        <f>+CK11</f>
        <v>0</v>
      </c>
      <c r="CO23" s="5">
        <f>BG23</f>
        <v>0</v>
      </c>
      <c r="CP23" s="5">
        <f>+CP11</f>
        <v>4096993217</v>
      </c>
      <c r="CQ23" s="5">
        <f>SUM(CJ23:CO23)-CK23</f>
        <v>4096993217</v>
      </c>
      <c r="CR23" s="5">
        <f>+CR11</f>
        <v>0</v>
      </c>
      <c r="CT23" s="5">
        <f>CQ23-CJ23</f>
        <v>0</v>
      </c>
      <c r="CU23" s="253" t="s">
        <v>1588</v>
      </c>
    </row>
    <row r="24" spans="3:99" ht="18" customHeight="1">
      <c r="C24" s="5" t="s">
        <v>2203</v>
      </c>
      <c r="D24" s="5" t="s">
        <v>15</v>
      </c>
      <c r="E24" s="20" t="s">
        <v>2174</v>
      </c>
      <c r="F24" s="253"/>
      <c r="P24" s="253"/>
      <c r="Q24" s="253"/>
      <c r="AA24" s="253"/>
      <c r="AB24" s="253"/>
      <c r="AL24" s="253"/>
      <c r="AW24" s="253"/>
      <c r="AX24" s="4"/>
      <c r="BH24" s="253"/>
      <c r="BI24" s="4"/>
      <c r="BS24" s="253"/>
      <c r="BU24" s="5">
        <f>+BU12</f>
        <v>484923306</v>
      </c>
      <c r="BV24" s="5">
        <f>+BV12</f>
        <v>484923306</v>
      </c>
      <c r="BW24" s="5">
        <f>+BW12</f>
        <v>0</v>
      </c>
      <c r="BX24" s="5">
        <f>AP24</f>
        <v>0</v>
      </c>
      <c r="BY24" s="5">
        <f>AQ24</f>
        <v>0</v>
      </c>
      <c r="BZ24" s="5">
        <f t="shared" si="4"/>
        <v>0</v>
      </c>
      <c r="CA24" s="5">
        <f>AS24</f>
        <v>0</v>
      </c>
      <c r="CB24" s="5">
        <f>+CB12</f>
        <v>484923306</v>
      </c>
      <c r="CC24" s="5">
        <f>SUM(BV24:CA24)-BW24</f>
        <v>484923306</v>
      </c>
      <c r="CD24" s="5">
        <f>+CD12</f>
        <v>0</v>
      </c>
      <c r="CG24" s="253"/>
      <c r="CI24" s="5">
        <f t="shared" si="5"/>
        <v>484923306</v>
      </c>
      <c r="CJ24" s="5">
        <f t="shared" si="6"/>
        <v>484923306</v>
      </c>
      <c r="CK24" s="5">
        <f>+CK12</f>
        <v>0</v>
      </c>
      <c r="CM24" s="5">
        <v>-484923306</v>
      </c>
      <c r="CO24" s="5">
        <f>BG24</f>
        <v>0</v>
      </c>
      <c r="CP24" s="5">
        <f>+CP12</f>
        <v>484923306</v>
      </c>
      <c r="CQ24" s="5">
        <f>SUM(CJ24:CO24)-CK24</f>
        <v>0</v>
      </c>
      <c r="CR24" s="5">
        <f>+CR12</f>
        <v>-484923306</v>
      </c>
      <c r="CU24" s="253"/>
    </row>
    <row r="25" spans="3:99" s="4" customFormat="1" ht="18" customHeight="1">
      <c r="D25" s="484" t="s">
        <v>428</v>
      </c>
      <c r="E25" s="484"/>
      <c r="F25" s="802"/>
      <c r="G25" s="484">
        <f t="shared" ref="G25:M25" si="7">SUM(G19:G23)</f>
        <v>39337918397</v>
      </c>
      <c r="H25" s="484">
        <f t="shared" si="7"/>
        <v>35240925180</v>
      </c>
      <c r="I25" s="484">
        <f t="shared" si="7"/>
        <v>4096993217</v>
      </c>
      <c r="J25" s="484">
        <f t="shared" si="7"/>
        <v>-13470818114</v>
      </c>
      <c r="K25" s="484">
        <f t="shared" si="7"/>
        <v>0</v>
      </c>
      <c r="L25" s="484">
        <f t="shared" si="7"/>
        <v>-209609894</v>
      </c>
      <c r="M25" s="484">
        <f t="shared" si="7"/>
        <v>25657490389</v>
      </c>
      <c r="N25" s="484"/>
      <c r="O25" s="484"/>
      <c r="P25" s="484"/>
      <c r="R25" s="484">
        <f t="shared" ref="R25:X25" si="8">SUM(R19:R23)</f>
        <v>39337918397</v>
      </c>
      <c r="S25" s="484">
        <f t="shared" si="8"/>
        <v>25657490389</v>
      </c>
      <c r="T25" s="484">
        <f t="shared" si="8"/>
        <v>-4096993217</v>
      </c>
      <c r="U25" s="484">
        <f t="shared" si="8"/>
        <v>0</v>
      </c>
      <c r="V25" s="484">
        <f t="shared" si="8"/>
        <v>0</v>
      </c>
      <c r="W25" s="484">
        <f t="shared" si="8"/>
        <v>320182253</v>
      </c>
      <c r="X25" s="484">
        <f t="shared" si="8"/>
        <v>21880679425</v>
      </c>
      <c r="Y25" s="484"/>
      <c r="Z25" s="484"/>
      <c r="AA25" s="484"/>
      <c r="AC25" s="484">
        <f t="shared" ref="AC25:AI25" si="9">SUM(AC19:AC23)</f>
        <v>39337918397</v>
      </c>
      <c r="AD25" s="484">
        <f t="shared" si="9"/>
        <v>25657490389</v>
      </c>
      <c r="AE25" s="484">
        <f t="shared" si="9"/>
        <v>-4096993217</v>
      </c>
      <c r="AF25" s="484">
        <f t="shared" si="9"/>
        <v>0</v>
      </c>
      <c r="AG25" s="484">
        <f t="shared" si="9"/>
        <v>0</v>
      </c>
      <c r="AH25" s="484">
        <f t="shared" si="9"/>
        <v>2130721472</v>
      </c>
      <c r="AI25" s="484">
        <f t="shared" si="9"/>
        <v>23691218644</v>
      </c>
      <c r="AJ25" s="484"/>
      <c r="AK25" s="484"/>
      <c r="AL25" s="484"/>
      <c r="AN25" s="484">
        <f t="shared" ref="AN25:AT25" si="10">SUM(AN19:AN23)</f>
        <v>39337918397</v>
      </c>
      <c r="AO25" s="484">
        <f t="shared" si="10"/>
        <v>25657490389</v>
      </c>
      <c r="AP25" s="484">
        <f t="shared" si="10"/>
        <v>-4096993217</v>
      </c>
      <c r="AQ25" s="484">
        <f t="shared" si="10"/>
        <v>-20593687255</v>
      </c>
      <c r="AR25" s="484">
        <f t="shared" si="10"/>
        <v>0</v>
      </c>
      <c r="AS25" s="484">
        <f t="shared" si="10"/>
        <v>1069187616</v>
      </c>
      <c r="AT25" s="484">
        <f t="shared" si="10"/>
        <v>2035997533</v>
      </c>
      <c r="AU25" s="484"/>
      <c r="AV25" s="484"/>
      <c r="AW25" s="484"/>
      <c r="AY25" s="484">
        <f t="shared" ref="AY25:BE25" si="11">SUM(AY19:AY23)</f>
        <v>39337918397</v>
      </c>
      <c r="AZ25" s="484">
        <f t="shared" si="11"/>
        <v>2035997533</v>
      </c>
      <c r="BA25" s="484">
        <f t="shared" si="11"/>
        <v>0</v>
      </c>
      <c r="BB25" s="484">
        <f t="shared" si="11"/>
        <v>0</v>
      </c>
      <c r="BC25" s="484">
        <f t="shared" si="11"/>
        <v>0</v>
      </c>
      <c r="BD25" s="484">
        <f t="shared" si="11"/>
        <v>127702881</v>
      </c>
      <c r="BE25" s="484">
        <f t="shared" si="11"/>
        <v>2163700414</v>
      </c>
      <c r="BF25" s="484"/>
      <c r="BG25" s="484"/>
      <c r="BH25" s="484"/>
      <c r="BJ25" s="484">
        <v>39337918397</v>
      </c>
      <c r="BK25" s="484">
        <v>2035997533</v>
      </c>
      <c r="BL25" s="484">
        <v>0</v>
      </c>
      <c r="BM25" s="484">
        <v>0</v>
      </c>
      <c r="BN25" s="484">
        <v>0</v>
      </c>
      <c r="BO25" s="484">
        <v>99682563</v>
      </c>
      <c r="BP25" s="484">
        <v>2135680096</v>
      </c>
      <c r="BQ25" s="484"/>
      <c r="BR25" s="484"/>
      <c r="BS25" s="484"/>
      <c r="BU25" s="484">
        <f t="shared" ref="BU25:CD25" si="12">SUM(BU19:BU24)</f>
        <v>40684527408</v>
      </c>
      <c r="BV25" s="484">
        <f t="shared" si="12"/>
        <v>6617914056</v>
      </c>
      <c r="BW25" s="484">
        <f t="shared" si="12"/>
        <v>-34066613352</v>
      </c>
      <c r="BX25" s="484">
        <f t="shared" si="12"/>
        <v>0</v>
      </c>
      <c r="BY25" s="484">
        <f t="shared" si="12"/>
        <v>0</v>
      </c>
      <c r="BZ25" s="484">
        <f t="shared" si="12"/>
        <v>0</v>
      </c>
      <c r="CA25" s="484">
        <f t="shared" si="12"/>
        <v>92118216</v>
      </c>
      <c r="CB25" s="484">
        <f t="shared" si="12"/>
        <v>41717572273</v>
      </c>
      <c r="CC25" s="484">
        <f t="shared" si="12"/>
        <v>6710032272</v>
      </c>
      <c r="CD25" s="484">
        <f t="shared" si="12"/>
        <v>-35007540001</v>
      </c>
      <c r="CE25" s="484"/>
      <c r="CF25" s="484"/>
      <c r="CG25" s="484"/>
      <c r="CI25" s="484">
        <f t="shared" ref="CI25:CR25" si="13">SUM(CI19:CI24)</f>
        <v>40684527408</v>
      </c>
      <c r="CJ25" s="484">
        <f t="shared" si="13"/>
        <v>6617914056</v>
      </c>
      <c r="CK25" s="484">
        <f t="shared" si="13"/>
        <v>-34066613352</v>
      </c>
      <c r="CL25" s="484">
        <f t="shared" si="13"/>
        <v>0</v>
      </c>
      <c r="CM25" s="484">
        <f t="shared" si="13"/>
        <v>-484923306</v>
      </c>
      <c r="CN25" s="484">
        <f t="shared" si="13"/>
        <v>0</v>
      </c>
      <c r="CO25" s="484">
        <f t="shared" si="13"/>
        <v>-17460564</v>
      </c>
      <c r="CP25" s="484">
        <f t="shared" si="13"/>
        <v>40488718739</v>
      </c>
      <c r="CQ25" s="484">
        <f t="shared" si="13"/>
        <v>6115530186</v>
      </c>
      <c r="CR25" s="484">
        <f t="shared" si="13"/>
        <v>-34373188553</v>
      </c>
      <c r="CS25" s="484"/>
      <c r="CT25" s="484"/>
      <c r="CU25" s="484"/>
    </row>
    <row r="26" spans="3:99" s="4" customFormat="1" ht="18" customHeight="1">
      <c r="M26" s="112"/>
      <c r="X26" s="112"/>
      <c r="AI26" s="112"/>
      <c r="AT26" s="112"/>
      <c r="BE26" s="112"/>
      <c r="BP26" s="112"/>
      <c r="CC26" s="112"/>
      <c r="CD26" s="112"/>
      <c r="CP26" s="4" t="b">
        <f>CP25=T_BS!W130</f>
        <v>1</v>
      </c>
      <c r="CQ26" s="112"/>
      <c r="CR26" s="112" t="b">
        <f>T_BS!W131=CR25</f>
        <v>1</v>
      </c>
    </row>
    <row r="27" spans="3:99" ht="18" customHeight="1">
      <c r="AD27" s="5">
        <v>2447102013.5100002</v>
      </c>
      <c r="AH27" s="803" t="s">
        <v>1683</v>
      </c>
      <c r="AI27" s="804">
        <v>4096993217</v>
      </c>
      <c r="AO27" s="5" t="s">
        <v>457</v>
      </c>
      <c r="AP27" s="418">
        <v>10.6976</v>
      </c>
      <c r="AS27" s="803" t="s">
        <v>1683</v>
      </c>
      <c r="AT27" s="804">
        <v>4096993217</v>
      </c>
      <c r="AZ27" s="5" t="s">
        <v>457</v>
      </c>
      <c r="BA27" s="418">
        <v>10.9626</v>
      </c>
      <c r="BD27" s="803" t="s">
        <v>1683</v>
      </c>
      <c r="BE27" s="804">
        <v>4096993217</v>
      </c>
      <c r="BK27" s="5" t="s">
        <v>457</v>
      </c>
      <c r="BL27" s="418">
        <v>11.132899999999999</v>
      </c>
      <c r="BO27" s="803" t="s">
        <v>1683</v>
      </c>
      <c r="BP27" s="804">
        <v>4096993217</v>
      </c>
      <c r="BW27" s="5" t="s">
        <v>457</v>
      </c>
      <c r="BX27" s="823">
        <f>'5.1'!S15</f>
        <v>11.167199999999999</v>
      </c>
      <c r="CA27" s="819" t="s">
        <v>1683</v>
      </c>
      <c r="CB27" s="820">
        <f>CC23</f>
        <v>4096993217</v>
      </c>
      <c r="CC27" s="804"/>
      <c r="CK27" s="5" t="s">
        <v>457</v>
      </c>
      <c r="CL27" s="823">
        <f>'5.1'!T15</f>
        <v>11.050700000000001</v>
      </c>
      <c r="CO27" s="819" t="s">
        <v>1683</v>
      </c>
      <c r="CP27" s="820">
        <f>CQ23</f>
        <v>4096993217</v>
      </c>
      <c r="CQ27" s="804"/>
    </row>
    <row r="28" spans="3:99" ht="18" customHeight="1">
      <c r="AH28" s="803" t="s">
        <v>1684</v>
      </c>
      <c r="AI28" s="804">
        <v>484923306</v>
      </c>
      <c r="AO28" s="5" t="s">
        <v>456</v>
      </c>
      <c r="AP28" s="419">
        <v>10.6347</v>
      </c>
      <c r="AS28" s="803" t="s">
        <v>1684</v>
      </c>
      <c r="AT28" s="804">
        <v>484923306</v>
      </c>
      <c r="AZ28" s="5" t="s">
        <v>456</v>
      </c>
      <c r="BA28" s="419">
        <v>11.308299999999999</v>
      </c>
      <c r="BD28" s="803" t="s">
        <v>1684</v>
      </c>
      <c r="BE28" s="804">
        <v>484923306</v>
      </c>
      <c r="BK28" s="5" t="s">
        <v>456</v>
      </c>
      <c r="BL28" s="419">
        <v>11.160500000000001</v>
      </c>
      <c r="BO28" s="803" t="s">
        <v>1684</v>
      </c>
      <c r="BP28" s="804">
        <v>484923306</v>
      </c>
      <c r="BW28" s="5" t="s">
        <v>456</v>
      </c>
      <c r="BX28" s="824">
        <f>'5.1'!S14</f>
        <v>11.1206</v>
      </c>
      <c r="CA28" s="819" t="s">
        <v>1684</v>
      </c>
      <c r="CB28" s="820">
        <f>CC24</f>
        <v>484923306</v>
      </c>
      <c r="CC28" s="804"/>
      <c r="CK28" s="5" t="s">
        <v>456</v>
      </c>
      <c r="CL28" s="824">
        <f>'5.1'!T14</f>
        <v>10.5426</v>
      </c>
      <c r="CO28" s="819" t="s">
        <v>1684</v>
      </c>
      <c r="CP28" s="820">
        <f>CQ24</f>
        <v>0</v>
      </c>
      <c r="CQ28" s="804"/>
    </row>
    <row r="29" spans="3:99" ht="18" customHeight="1">
      <c r="AH29" s="803" t="s">
        <v>495</v>
      </c>
      <c r="AI29" s="804">
        <f>SUM(AI27:AI28,AI25)</f>
        <v>28273135167</v>
      </c>
      <c r="AS29" s="803" t="s">
        <v>495</v>
      </c>
      <c r="AT29" s="804">
        <f>SUM(AT27:AT28,AT25)</f>
        <v>6617914056</v>
      </c>
      <c r="BD29" s="803" t="s">
        <v>495</v>
      </c>
      <c r="BE29" s="804">
        <f>SUM(BE27:BE28,BE25)</f>
        <v>6745616937</v>
      </c>
      <c r="BO29" s="803" t="s">
        <v>495</v>
      </c>
      <c r="BP29" s="804">
        <v>6717596619</v>
      </c>
      <c r="BU29" s="5">
        <v>17757739327</v>
      </c>
      <c r="BW29" s="20" t="s">
        <v>2175</v>
      </c>
      <c r="BX29" s="419">
        <v>10.6347</v>
      </c>
      <c r="CA29" s="821" t="s">
        <v>2198</v>
      </c>
      <c r="CB29" s="821">
        <f>CC19+CC20</f>
        <v>2128115749</v>
      </c>
      <c r="CC29" s="804"/>
      <c r="CK29" s="20" t="s">
        <v>2175</v>
      </c>
      <c r="CL29" s="419">
        <v>10.6347</v>
      </c>
      <c r="CO29" s="821" t="s">
        <v>2198</v>
      </c>
      <c r="CP29" s="821">
        <f>CQ19+CQ20+CQ21</f>
        <v>2018536969</v>
      </c>
      <c r="CQ29" s="804"/>
    </row>
    <row r="30" spans="3:99" ht="18" customHeight="1" thickBot="1">
      <c r="AH30" s="420" t="s">
        <v>1685</v>
      </c>
      <c r="AI30" s="421"/>
      <c r="AS30" s="420" t="s">
        <v>1685</v>
      </c>
      <c r="AT30" s="421"/>
      <c r="BD30" s="420" t="s">
        <v>1685</v>
      </c>
      <c r="BE30" s="421"/>
      <c r="BO30" s="420" t="s">
        <v>1685</v>
      </c>
      <c r="BP30" s="421" t="b">
        <v>1</v>
      </c>
      <c r="BU30" s="5">
        <v>-13175822804</v>
      </c>
      <c r="BX30" s="419">
        <v>11.160500000000001</v>
      </c>
      <c r="CA30" s="803" t="s">
        <v>495</v>
      </c>
      <c r="CB30" s="804">
        <f>SUM(CB27:CB29)</f>
        <v>6710032272</v>
      </c>
      <c r="CC30" s="805"/>
      <c r="CL30" s="419"/>
      <c r="CO30" s="803" t="s">
        <v>495</v>
      </c>
      <c r="CP30" s="804">
        <f>SUM(CP27:CP29)</f>
        <v>6115530186</v>
      </c>
      <c r="CQ30" s="805"/>
    </row>
    <row r="31" spans="3:99" ht="18" customHeight="1" thickTop="1" thickBot="1">
      <c r="CA31" s="420" t="s">
        <v>1685</v>
      </c>
      <c r="CB31" s="421"/>
      <c r="CO31" s="420" t="s">
        <v>1685</v>
      </c>
      <c r="CP31" s="421" t="b">
        <f>(T_BS!$W130+T_BS!$W131)=CP30</f>
        <v>1</v>
      </c>
    </row>
    <row r="32" spans="3:99" ht="18" customHeight="1" thickTop="1"/>
    <row r="33" spans="46:82" ht="18" customHeight="1">
      <c r="AT33" s="5">
        <v>5485464260</v>
      </c>
      <c r="BM33" s="20" t="s">
        <v>461</v>
      </c>
      <c r="BN33" s="20" t="s">
        <v>2176</v>
      </c>
      <c r="BO33" s="20" t="s">
        <v>2177</v>
      </c>
      <c r="BP33" s="20" t="s">
        <v>558</v>
      </c>
      <c r="BY33" s="20" t="s">
        <v>1925</v>
      </c>
      <c r="BZ33" s="20" t="s">
        <v>2178</v>
      </c>
      <c r="CA33" s="20" t="s">
        <v>2179</v>
      </c>
      <c r="CB33" s="20" t="s">
        <v>2180</v>
      </c>
      <c r="CC33" s="20" t="s">
        <v>2181</v>
      </c>
      <c r="CD33" s="20"/>
    </row>
    <row r="34" spans="46:82" ht="18" customHeight="1">
      <c r="BL34" s="20" t="s">
        <v>129</v>
      </c>
      <c r="BM34" s="5">
        <v>21748156283</v>
      </c>
      <c r="BN34" s="5">
        <v>-20593687255</v>
      </c>
      <c r="BO34" s="5">
        <v>-961368268</v>
      </c>
      <c r="BP34" s="5">
        <v>2115837296</v>
      </c>
      <c r="BU34" s="5">
        <f>+CB7*$BX$30+CB20+CB22+CB23+CB21+CB24</f>
        <v>41802401435.087502</v>
      </c>
      <c r="BV34" s="5">
        <f>+CC7*$BX$30+CC20+CC22+CC23+CC21+CC24</f>
        <v>6717596619.4795284</v>
      </c>
      <c r="BW34" s="5">
        <f>+CD7*$BX$30+CD20+CD22+CD23+CD21+CD24</f>
        <v>-35084804815.607971</v>
      </c>
      <c r="BX34" s="20" t="s">
        <v>1924</v>
      </c>
      <c r="BY34" s="5">
        <f>+G19</f>
        <v>21748156283</v>
      </c>
      <c r="BZ34" s="5">
        <f>+BU19</f>
        <v>22609841988</v>
      </c>
      <c r="CA34" s="5">
        <f>+CD19</f>
        <v>-21534613904</v>
      </c>
      <c r="CB34" s="5">
        <f>BZ34+CA34-CC34</f>
        <v>-1033044865</v>
      </c>
      <c r="CC34" s="5">
        <f>+CC19</f>
        <v>2108272949</v>
      </c>
    </row>
    <row r="35" spans="46:82" ht="18" customHeight="1">
      <c r="BL35" s="20" t="s">
        <v>2182</v>
      </c>
      <c r="BM35" s="5">
        <v>6676985115</v>
      </c>
      <c r="BN35" s="5">
        <v>-1912539733</v>
      </c>
      <c r="BO35" s="5">
        <v>-456283061</v>
      </c>
      <c r="BP35" s="5">
        <v>5220728443</v>
      </c>
      <c r="BV35" s="5">
        <f>+BU34+BW34-BV34</f>
        <v>0</v>
      </c>
      <c r="BX35" s="20" t="s">
        <v>2183</v>
      </c>
      <c r="BY35" s="5">
        <v>6676985115</v>
      </c>
      <c r="BZ35" s="5">
        <v>5320226579</v>
      </c>
      <c r="CA35" s="5">
        <v>-2095087333</v>
      </c>
      <c r="CB35" s="5">
        <f>BZ35+CA35-CC35</f>
        <v>-2095087333</v>
      </c>
      <c r="CC35" s="5">
        <v>5320226579</v>
      </c>
    </row>
    <row r="36" spans="46:82" ht="18" customHeight="1">
      <c r="BL36" s="20" t="s">
        <v>2184</v>
      </c>
      <c r="BM36" s="5">
        <v>-2324258519</v>
      </c>
      <c r="BN36" s="5">
        <v>665755050</v>
      </c>
      <c r="BO36" s="5">
        <v>158832140</v>
      </c>
      <c r="BP36" s="5">
        <v>-1817335609</v>
      </c>
      <c r="BX36" s="20" t="s">
        <v>2185</v>
      </c>
      <c r="BY36" s="5">
        <v>-2324258519</v>
      </c>
      <c r="BZ36" s="5">
        <v>-1787367279</v>
      </c>
      <c r="CA36" s="5">
        <v>729299866</v>
      </c>
      <c r="CB36" s="5">
        <f>BZ36+CA36-CC36</f>
        <v>729299866</v>
      </c>
      <c r="CC36" s="5">
        <v>-1787367279</v>
      </c>
    </row>
    <row r="37" spans="46:82" ht="18" customHeight="1">
      <c r="BL37" s="20" t="s">
        <v>1809</v>
      </c>
      <c r="BM37" s="5">
        <v>3899117116</v>
      </c>
      <c r="BX37" s="20" t="s">
        <v>1932</v>
      </c>
      <c r="BY37" s="5">
        <f>BY38-BY36-BY35-BY34</f>
        <v>3899117116</v>
      </c>
    </row>
    <row r="38" spans="46:82" ht="18" customHeight="1">
      <c r="BL38" s="20" t="s">
        <v>2186</v>
      </c>
      <c r="BM38" s="5">
        <v>29999999995</v>
      </c>
      <c r="BX38" s="20" t="s">
        <v>2187</v>
      </c>
      <c r="BY38" s="5">
        <v>29999999995</v>
      </c>
    </row>
    <row r="39" spans="46:82" ht="18" customHeight="1">
      <c r="BQ39" s="929" t="s">
        <v>2188</v>
      </c>
      <c r="BR39" s="930"/>
      <c r="BS39" s="930"/>
      <c r="BT39" s="930"/>
      <c r="BU39" s="930"/>
      <c r="BV39" s="931"/>
    </row>
    <row r="40" spans="46:82" ht="18" customHeight="1">
      <c r="BM40" s="5">
        <v>21748156283</v>
      </c>
      <c r="BN40" s="5">
        <v>29999999995</v>
      </c>
      <c r="BQ40" s="932" t="s">
        <v>2189</v>
      </c>
      <c r="BR40" s="934" t="s">
        <v>2190</v>
      </c>
      <c r="BS40" s="935"/>
      <c r="BT40" s="935"/>
      <c r="BU40" s="936"/>
      <c r="BV40" s="806" t="s">
        <v>2191</v>
      </c>
      <c r="BY40" s="5">
        <f>+BY34</f>
        <v>21748156283</v>
      </c>
      <c r="BZ40" s="5">
        <f>BY38</f>
        <v>29999999995</v>
      </c>
    </row>
    <row r="41" spans="46:82" ht="18" customHeight="1">
      <c r="BM41" s="5">
        <v>6676985115</v>
      </c>
      <c r="BN41" s="5">
        <v>2324258519</v>
      </c>
      <c r="BQ41" s="933"/>
      <c r="BR41" s="807" t="s">
        <v>2192</v>
      </c>
      <c r="BS41" s="807" t="s">
        <v>2193</v>
      </c>
      <c r="BT41" s="807" t="s">
        <v>2194</v>
      </c>
      <c r="BU41" s="807" t="s">
        <v>2195</v>
      </c>
      <c r="BV41" s="806" t="s">
        <v>2195</v>
      </c>
      <c r="BY41" s="5">
        <f>+BY35</f>
        <v>6676985115</v>
      </c>
      <c r="BZ41" s="5">
        <f>-BY36</f>
        <v>2324258519</v>
      </c>
    </row>
    <row r="42" spans="46:82" ht="18" customHeight="1">
      <c r="BM42" s="5">
        <v>3899117116</v>
      </c>
      <c r="BQ42" s="808" t="s">
        <v>110</v>
      </c>
      <c r="BR42" s="809">
        <v>12030230</v>
      </c>
      <c r="BS42" s="809">
        <v>-8647632</v>
      </c>
      <c r="BT42" s="809">
        <v>-2107185</v>
      </c>
      <c r="BU42" s="809">
        <v>1275413</v>
      </c>
      <c r="BV42" s="810">
        <v>1265448</v>
      </c>
      <c r="BY42" s="5">
        <f>BZ41+BZ40-BY40-BY41</f>
        <v>3899117116</v>
      </c>
    </row>
    <row r="43" spans="46:82" ht="18" customHeight="1">
      <c r="BM43" s="5">
        <v>32324258514</v>
      </c>
      <c r="BN43" s="5">
        <v>32324258514</v>
      </c>
      <c r="BQ43" s="808" t="s">
        <v>650</v>
      </c>
      <c r="BR43" s="809">
        <v>1414634</v>
      </c>
      <c r="BS43" s="809">
        <v>-715719</v>
      </c>
      <c r="BT43" s="811" t="s">
        <v>612</v>
      </c>
      <c r="BU43" s="809">
        <v>698915</v>
      </c>
      <c r="BV43" s="810">
        <v>652261</v>
      </c>
      <c r="BY43" s="5">
        <f>+BY40+BY41+BY42</f>
        <v>32324258514</v>
      </c>
      <c r="BZ43" s="5">
        <f>+BZ40+BZ41</f>
        <v>32324258514</v>
      </c>
    </row>
    <row r="44" spans="46:82" ht="18" customHeight="1">
      <c r="BQ44" s="808" t="s">
        <v>123</v>
      </c>
      <c r="BR44" s="809">
        <v>18523148</v>
      </c>
      <c r="BS44" s="809">
        <v>-9159477</v>
      </c>
      <c r="BT44" s="809">
        <v>-5553041</v>
      </c>
      <c r="BU44" s="809">
        <v>3810630</v>
      </c>
      <c r="BV44" s="810">
        <v>4044415</v>
      </c>
    </row>
    <row r="45" spans="46:82" ht="18" customHeight="1">
      <c r="BL45" s="5" t="s">
        <v>2186</v>
      </c>
      <c r="BM45" s="5">
        <v>29999999995</v>
      </c>
      <c r="BQ45" s="808" t="s">
        <v>2067</v>
      </c>
      <c r="BR45" s="809">
        <v>462235</v>
      </c>
      <c r="BS45" s="811" t="s">
        <v>612</v>
      </c>
      <c r="BT45" s="811" t="s">
        <v>612</v>
      </c>
      <c r="BU45" s="809">
        <v>462235</v>
      </c>
      <c r="BV45" s="812" t="s">
        <v>612</v>
      </c>
      <c r="BX45" s="5" t="str">
        <f>BX38</f>
        <v>인수대가</v>
      </c>
      <c r="BY45" s="5">
        <f>BY38</f>
        <v>29999999995</v>
      </c>
    </row>
    <row r="46" spans="46:82" ht="18" customHeight="1">
      <c r="BL46" s="20" t="s">
        <v>1859</v>
      </c>
      <c r="BM46" s="5">
        <v>-24071000000</v>
      </c>
      <c r="BQ46" s="813" t="s">
        <v>651</v>
      </c>
      <c r="BR46" s="809">
        <v>25615738</v>
      </c>
      <c r="BS46" s="809">
        <v>-13459163</v>
      </c>
      <c r="BT46" s="811" t="s">
        <v>612</v>
      </c>
      <c r="BU46" s="809">
        <v>12156575</v>
      </c>
      <c r="BV46" s="810">
        <v>14018587</v>
      </c>
      <c r="BX46" s="20" t="s">
        <v>2196</v>
      </c>
      <c r="BY46" s="5">
        <v>-24071000000</v>
      </c>
    </row>
    <row r="47" spans="46:82" ht="18" customHeight="1">
      <c r="BM47" s="5">
        <v>5928999995</v>
      </c>
      <c r="BQ47" s="813" t="s">
        <v>129</v>
      </c>
      <c r="BR47" s="814">
        <v>41802401</v>
      </c>
      <c r="BS47" s="815" t="s">
        <v>612</v>
      </c>
      <c r="BT47" s="814">
        <v>-35084805</v>
      </c>
      <c r="BU47" s="809">
        <f>+BR47+BT47</f>
        <v>6717596</v>
      </c>
      <c r="BV47" s="810">
        <v>6617914</v>
      </c>
      <c r="BY47" s="5">
        <f>+BY45+BY46</f>
        <v>5928999995</v>
      </c>
    </row>
    <row r="48" spans="46:82" ht="18" customHeight="1">
      <c r="BQ48" s="816" t="s">
        <v>2197</v>
      </c>
      <c r="BR48" s="817">
        <f>SUM(BR42:BR47)</f>
        <v>99848386</v>
      </c>
      <c r="BS48" s="817">
        <f>SUM(BS42:BS47)</f>
        <v>-31981991</v>
      </c>
      <c r="BT48" s="817">
        <f>SUM(BT42:BT47)</f>
        <v>-42745031</v>
      </c>
      <c r="BU48" s="817">
        <f>SUM(BU42:BU47)</f>
        <v>25121364</v>
      </c>
      <c r="BV48" s="818">
        <v>26598625</v>
      </c>
    </row>
  </sheetData>
  <mergeCells count="15">
    <mergeCell ref="AC5:AL5"/>
    <mergeCell ref="AN5:AW5"/>
    <mergeCell ref="BJ5:BS5"/>
    <mergeCell ref="AY5:BH5"/>
    <mergeCell ref="AC16:AL16"/>
    <mergeCell ref="AN16:AW16"/>
    <mergeCell ref="AY16:BH16"/>
    <mergeCell ref="BJ16:BS16"/>
    <mergeCell ref="BU16:CG16"/>
    <mergeCell ref="CI5:CU5"/>
    <mergeCell ref="CI16:CU16"/>
    <mergeCell ref="BQ39:BV39"/>
    <mergeCell ref="BQ40:BQ41"/>
    <mergeCell ref="BR40:BU40"/>
    <mergeCell ref="BU5:CG5"/>
  </mergeCells>
  <phoneticPr fontId="20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D4:AJ23"/>
  <sheetViews>
    <sheetView showGridLines="0" zoomScaleNormal="100" workbookViewId="0">
      <selection activeCell="AH25" sqref="AH25"/>
    </sheetView>
  </sheetViews>
  <sheetFormatPr defaultColWidth="8.75" defaultRowHeight="18" customHeight="1" outlineLevelCol="1"/>
  <cols>
    <col min="1" max="3" width="2.375" style="5" customWidth="1"/>
    <col min="4" max="4" width="15.375" style="5" customWidth="1"/>
    <col min="5" max="5" width="16" style="5" bestFit="1" customWidth="1"/>
    <col min="6" max="6" width="14.75" style="5" customWidth="1" outlineLevel="1"/>
    <col min="7" max="16" width="14.75" style="5" hidden="1" customWidth="1" outlineLevel="1"/>
    <col min="17" max="26" width="14.75" style="5" hidden="1" customWidth="1"/>
    <col min="27" max="36" width="14.75" style="5" customWidth="1"/>
    <col min="37" max="16384" width="8.75" style="5"/>
  </cols>
  <sheetData>
    <row r="4" spans="4:36" ht="18" customHeight="1" thickBot="1">
      <c r="D4" s="26" t="s">
        <v>475</v>
      </c>
    </row>
    <row r="5" spans="4:36" s="8" customFormat="1" ht="18" customHeight="1">
      <c r="D5" s="93" t="s">
        <v>459</v>
      </c>
      <c r="E5" s="94" t="s">
        <v>460</v>
      </c>
      <c r="F5" s="94" t="s">
        <v>472</v>
      </c>
      <c r="G5" s="94" t="s">
        <v>467</v>
      </c>
      <c r="H5" s="94" t="s">
        <v>461</v>
      </c>
      <c r="I5" s="94" t="s">
        <v>462</v>
      </c>
      <c r="J5" s="94" t="s">
        <v>463</v>
      </c>
      <c r="K5" s="94" t="s">
        <v>464</v>
      </c>
      <c r="L5" s="94" t="s">
        <v>465</v>
      </c>
      <c r="M5" s="94" t="s">
        <v>394</v>
      </c>
      <c r="N5" s="94" t="s">
        <v>484</v>
      </c>
      <c r="O5" s="94" t="s">
        <v>466</v>
      </c>
      <c r="P5" s="95" t="s">
        <v>478</v>
      </c>
      <c r="Q5" s="94" t="s">
        <v>467</v>
      </c>
      <c r="R5" s="94" t="s">
        <v>461</v>
      </c>
      <c r="S5" s="94" t="s">
        <v>462</v>
      </c>
      <c r="T5" s="94" t="s">
        <v>463</v>
      </c>
      <c r="U5" s="94" t="s">
        <v>464</v>
      </c>
      <c r="V5" s="94" t="s">
        <v>465</v>
      </c>
      <c r="W5" s="94" t="s">
        <v>395</v>
      </c>
      <c r="X5" s="94" t="s">
        <v>484</v>
      </c>
      <c r="Y5" s="94" t="s">
        <v>466</v>
      </c>
      <c r="Z5" s="95" t="s">
        <v>478</v>
      </c>
      <c r="AA5" s="94" t="s">
        <v>467</v>
      </c>
      <c r="AB5" s="94" t="s">
        <v>461</v>
      </c>
      <c r="AC5" s="94" t="s">
        <v>462</v>
      </c>
      <c r="AD5" s="94" t="s">
        <v>463</v>
      </c>
      <c r="AE5" s="94" t="s">
        <v>464</v>
      </c>
      <c r="AF5" s="94" t="s">
        <v>465</v>
      </c>
      <c r="AG5" s="94" t="s">
        <v>395</v>
      </c>
      <c r="AH5" s="94" t="s">
        <v>484</v>
      </c>
      <c r="AI5" s="94" t="s">
        <v>466</v>
      </c>
      <c r="AJ5" s="95" t="s">
        <v>478</v>
      </c>
    </row>
    <row r="6" spans="4:36" ht="18" customHeight="1">
      <c r="D6" s="54" t="s">
        <v>15</v>
      </c>
      <c r="E6" s="52" t="s">
        <v>429</v>
      </c>
      <c r="F6" s="56" t="s">
        <v>473</v>
      </c>
      <c r="G6" s="52">
        <v>2126044175</v>
      </c>
      <c r="H6" s="52">
        <v>2126044175</v>
      </c>
      <c r="I6" s="52">
        <v>0</v>
      </c>
      <c r="J6" s="52">
        <v>0</v>
      </c>
      <c r="K6" s="52">
        <v>0</v>
      </c>
      <c r="L6" s="52">
        <v>0</v>
      </c>
      <c r="M6" s="52">
        <f>SUM(H6:L6)</f>
        <v>2126044175</v>
      </c>
      <c r="N6" s="52">
        <v>0</v>
      </c>
      <c r="O6" s="52">
        <f>M6-H6</f>
        <v>0</v>
      </c>
      <c r="P6" s="53"/>
      <c r="Q6" s="52">
        <v>2126044175</v>
      </c>
      <c r="R6" s="52">
        <f>M6</f>
        <v>2126044175</v>
      </c>
      <c r="S6" s="52"/>
      <c r="T6" s="52"/>
      <c r="U6" s="52"/>
      <c r="V6" s="52"/>
      <c r="W6" s="52">
        <f>SUM(R6:V6)</f>
        <v>2126044175</v>
      </c>
      <c r="X6" s="52">
        <v>0</v>
      </c>
      <c r="Y6" s="52">
        <f>W6-R6</f>
        <v>0</v>
      </c>
      <c r="Z6" s="53"/>
      <c r="AA6" s="52">
        <v>2126044175</v>
      </c>
      <c r="AB6" s="52">
        <f>W6</f>
        <v>2126044175</v>
      </c>
      <c r="AC6" s="52"/>
      <c r="AD6" s="52"/>
      <c r="AE6" s="52"/>
      <c r="AF6" s="52"/>
      <c r="AG6" s="52">
        <f>SUM(AB6:AF6)</f>
        <v>2126044175</v>
      </c>
      <c r="AH6" s="52">
        <v>0</v>
      </c>
      <c r="AI6" s="52">
        <f>AG6-AB6</f>
        <v>0</v>
      </c>
      <c r="AJ6" s="53"/>
    </row>
    <row r="7" spans="4:36" ht="18" customHeight="1">
      <c r="D7" s="54" t="s">
        <v>15</v>
      </c>
      <c r="E7" s="52" t="s">
        <v>468</v>
      </c>
      <c r="F7" s="56" t="s">
        <v>474</v>
      </c>
      <c r="G7" s="52">
        <f>'1.0'!F7</f>
        <v>19842800</v>
      </c>
      <c r="H7" s="52">
        <v>19842800</v>
      </c>
      <c r="I7" s="52">
        <v>0</v>
      </c>
      <c r="J7" s="52">
        <v>0</v>
      </c>
      <c r="K7" s="52">
        <v>0</v>
      </c>
      <c r="L7" s="52">
        <v>0</v>
      </c>
      <c r="M7" s="52">
        <f>SUM(H7:L7)</f>
        <v>19842800</v>
      </c>
      <c r="N7" s="52">
        <v>0</v>
      </c>
      <c r="O7" s="52">
        <f>M7-H7</f>
        <v>0</v>
      </c>
      <c r="P7" s="53"/>
      <c r="Q7" s="52">
        <f>'1.0'!T7</f>
        <v>0</v>
      </c>
      <c r="R7" s="52">
        <f>M7</f>
        <v>19842800</v>
      </c>
      <c r="S7" s="52"/>
      <c r="T7" s="52"/>
      <c r="U7" s="52"/>
      <c r="V7" s="52"/>
      <c r="W7" s="52">
        <f>SUM(R7:V7)</f>
        <v>19842800</v>
      </c>
      <c r="X7" s="52">
        <v>0</v>
      </c>
      <c r="Y7" s="52">
        <f>W7-R7</f>
        <v>0</v>
      </c>
      <c r="Z7" s="53"/>
      <c r="AA7" s="52">
        <f>'1.0'!AD7</f>
        <v>0</v>
      </c>
      <c r="AB7" s="52">
        <f>W7</f>
        <v>19842800</v>
      </c>
      <c r="AC7" s="52"/>
      <c r="AD7" s="52"/>
      <c r="AE7" s="52"/>
      <c r="AF7" s="52"/>
      <c r="AG7" s="52">
        <f>SUM(AB7:AF7)</f>
        <v>19842800</v>
      </c>
      <c r="AH7" s="52">
        <v>0</v>
      </c>
      <c r="AI7" s="52">
        <f>AG7-AB7</f>
        <v>0</v>
      </c>
      <c r="AJ7" s="53"/>
    </row>
    <row r="8" spans="4:36" ht="18" customHeight="1">
      <c r="D8" s="54" t="s">
        <v>15</v>
      </c>
      <c r="E8" s="52" t="s">
        <v>480</v>
      </c>
      <c r="F8" s="56" t="s">
        <v>474</v>
      </c>
      <c r="G8" s="52">
        <v>13175822804</v>
      </c>
      <c r="H8" s="52">
        <v>13175822804</v>
      </c>
      <c r="I8" s="52">
        <v>0</v>
      </c>
      <c r="J8" s="52">
        <v>-13175822804</v>
      </c>
      <c r="K8" s="52"/>
      <c r="L8" s="52"/>
      <c r="M8" s="52">
        <f>SUM(H8:L8)</f>
        <v>0</v>
      </c>
      <c r="N8" s="52">
        <v>0</v>
      </c>
      <c r="O8" s="52">
        <f>M8-H8</f>
        <v>-13175822804</v>
      </c>
      <c r="P8" s="96" t="s">
        <v>469</v>
      </c>
      <c r="Q8" s="52">
        <v>13175822804</v>
      </c>
      <c r="R8" s="52">
        <f>M8</f>
        <v>0</v>
      </c>
      <c r="S8" s="52"/>
      <c r="T8" s="52"/>
      <c r="U8" s="52"/>
      <c r="V8" s="52"/>
      <c r="W8" s="52">
        <f>SUM(R8:V8)</f>
        <v>0</v>
      </c>
      <c r="X8" s="52">
        <v>0</v>
      </c>
      <c r="Y8" s="52">
        <f>W8-R8</f>
        <v>0</v>
      </c>
      <c r="Z8" s="96"/>
      <c r="AA8" s="52">
        <v>13175822804</v>
      </c>
      <c r="AB8" s="52">
        <f>W8</f>
        <v>0</v>
      </c>
      <c r="AC8" s="52"/>
      <c r="AD8" s="52"/>
      <c r="AE8" s="52"/>
      <c r="AF8" s="52"/>
      <c r="AG8" s="52">
        <f>SUM(AB8:AF8)</f>
        <v>0</v>
      </c>
      <c r="AH8" s="52">
        <v>0</v>
      </c>
      <c r="AI8" s="52">
        <f>AG8-AB8</f>
        <v>0</v>
      </c>
      <c r="AJ8" s="96"/>
    </row>
    <row r="9" spans="4:36" ht="18" customHeight="1">
      <c r="D9" s="54" t="s">
        <v>15</v>
      </c>
      <c r="E9" s="52" t="s">
        <v>216</v>
      </c>
      <c r="F9" s="56" t="s">
        <v>474</v>
      </c>
      <c r="G9" s="52">
        <v>4096993217</v>
      </c>
      <c r="H9" s="52">
        <v>0</v>
      </c>
      <c r="I9" s="52">
        <v>4096993217</v>
      </c>
      <c r="J9" s="52"/>
      <c r="K9" s="52"/>
      <c r="L9" s="52"/>
      <c r="M9" s="52">
        <f>SUM(H9:L9)</f>
        <v>4096993217</v>
      </c>
      <c r="N9" s="52"/>
      <c r="O9" s="52">
        <f>M9-H9</f>
        <v>4096993217</v>
      </c>
      <c r="P9" s="96" t="s">
        <v>470</v>
      </c>
      <c r="Q9" s="52">
        <v>4096993217</v>
      </c>
      <c r="R9" s="52">
        <f>M9</f>
        <v>4096993217</v>
      </c>
      <c r="S9" s="52">
        <v>-4096993217</v>
      </c>
      <c r="T9" s="52"/>
      <c r="U9" s="52"/>
      <c r="V9" s="52"/>
      <c r="W9" s="52">
        <f>SUM(R9:V9)</f>
        <v>0</v>
      </c>
      <c r="X9" s="52"/>
      <c r="Y9" s="52">
        <f>W9-R9</f>
        <v>-4096993217</v>
      </c>
      <c r="Z9" s="96" t="s">
        <v>1588</v>
      </c>
      <c r="AA9" s="52">
        <v>4096993217</v>
      </c>
      <c r="AB9" s="52">
        <f>W9</f>
        <v>0</v>
      </c>
      <c r="AC9" s="52">
        <v>-4096993217</v>
      </c>
      <c r="AD9" s="52"/>
      <c r="AE9" s="52"/>
      <c r="AF9" s="52"/>
      <c r="AG9" s="52">
        <f>SUM(AB9:AF9)</f>
        <v>-4096993217</v>
      </c>
      <c r="AH9" s="52"/>
      <c r="AI9" s="52">
        <f>AG9-AB9</f>
        <v>-4096993217</v>
      </c>
      <c r="AJ9" s="96" t="s">
        <v>1588</v>
      </c>
    </row>
    <row r="10" spans="4:36" ht="18" customHeight="1" thickBot="1">
      <c r="D10" s="97" t="s">
        <v>15</v>
      </c>
      <c r="E10" s="98" t="s">
        <v>471</v>
      </c>
      <c r="F10" s="99" t="s">
        <v>474</v>
      </c>
      <c r="G10" s="98">
        <v>297103293</v>
      </c>
      <c r="H10" s="98">
        <v>297103293</v>
      </c>
      <c r="I10" s="98"/>
      <c r="J10" s="98">
        <v>-294995310</v>
      </c>
      <c r="K10" s="98"/>
      <c r="L10" s="98">
        <v>-2107983</v>
      </c>
      <c r="M10" s="98">
        <f>SUM(H10:L10)</f>
        <v>0</v>
      </c>
      <c r="N10" s="98"/>
      <c r="O10" s="98">
        <f>M10-H10</f>
        <v>-297103293</v>
      </c>
      <c r="P10" s="100"/>
      <c r="Q10" s="98">
        <v>297103293</v>
      </c>
      <c r="R10" s="52">
        <f>M10</f>
        <v>0</v>
      </c>
      <c r="S10" s="98"/>
      <c r="T10" s="98"/>
      <c r="U10" s="98"/>
      <c r="V10" s="98"/>
      <c r="W10" s="52">
        <f>SUM(R10:V10)</f>
        <v>0</v>
      </c>
      <c r="X10" s="98"/>
      <c r="Y10" s="98">
        <f>W10-R10</f>
        <v>0</v>
      </c>
      <c r="Z10" s="100"/>
      <c r="AA10" s="98">
        <v>297103293</v>
      </c>
      <c r="AB10" s="52">
        <f>W10</f>
        <v>0</v>
      </c>
      <c r="AC10" s="98"/>
      <c r="AD10" s="98"/>
      <c r="AE10" s="98"/>
      <c r="AF10" s="98"/>
      <c r="AG10" s="52">
        <f>SUM(AB10:AF10)</f>
        <v>0</v>
      </c>
      <c r="AH10" s="98"/>
      <c r="AI10" s="98">
        <f>AG10-AB10</f>
        <v>0</v>
      </c>
      <c r="AJ10" s="100"/>
    </row>
    <row r="11" spans="4:36" ht="18" customHeight="1" thickBot="1"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3"/>
      <c r="Q11" s="102"/>
      <c r="R11" s="102"/>
      <c r="S11" s="102"/>
      <c r="T11" s="102"/>
      <c r="U11" s="102"/>
      <c r="V11" s="102"/>
      <c r="W11" s="102"/>
      <c r="X11" s="102"/>
      <c r="Y11" s="102"/>
      <c r="Z11" s="103"/>
      <c r="AA11" s="102"/>
      <c r="AB11" s="102"/>
      <c r="AC11" s="102"/>
      <c r="AD11" s="102"/>
      <c r="AE11" s="102"/>
      <c r="AF11" s="102"/>
      <c r="AG11" s="102"/>
      <c r="AH11" s="102"/>
      <c r="AI11" s="102"/>
      <c r="AJ11" s="103"/>
    </row>
    <row r="13" spans="4:36" ht="18" customHeight="1" thickBot="1">
      <c r="D13" s="26" t="s">
        <v>476</v>
      </c>
    </row>
    <row r="14" spans="4:36" s="8" customFormat="1" ht="18" customHeight="1">
      <c r="D14" s="93" t="s">
        <v>459</v>
      </c>
      <c r="E14" s="94" t="s">
        <v>460</v>
      </c>
      <c r="F14" s="94" t="s">
        <v>472</v>
      </c>
      <c r="G14" s="94" t="s">
        <v>467</v>
      </c>
      <c r="H14" s="94" t="s">
        <v>461</v>
      </c>
      <c r="I14" s="94" t="s">
        <v>462</v>
      </c>
      <c r="J14" s="94" t="s">
        <v>463</v>
      </c>
      <c r="K14" s="94" t="s">
        <v>464</v>
      </c>
      <c r="L14" s="94" t="s">
        <v>465</v>
      </c>
      <c r="M14" s="94" t="s">
        <v>394</v>
      </c>
      <c r="N14" s="94"/>
      <c r="O14" s="94" t="s">
        <v>466</v>
      </c>
      <c r="P14" s="95" t="s">
        <v>478</v>
      </c>
      <c r="Q14" s="94" t="s">
        <v>467</v>
      </c>
      <c r="R14" s="94" t="s">
        <v>461</v>
      </c>
      <c r="S14" s="94" t="s">
        <v>462</v>
      </c>
      <c r="T14" s="94" t="s">
        <v>463</v>
      </c>
      <c r="U14" s="94" t="s">
        <v>464</v>
      </c>
      <c r="V14" s="94" t="s">
        <v>465</v>
      </c>
      <c r="W14" s="94" t="s">
        <v>395</v>
      </c>
      <c r="X14" s="94"/>
      <c r="Y14" s="94" t="s">
        <v>466</v>
      </c>
      <c r="Z14" s="95" t="s">
        <v>478</v>
      </c>
      <c r="AA14" s="94" t="s">
        <v>467</v>
      </c>
      <c r="AB14" s="94" t="s">
        <v>461</v>
      </c>
      <c r="AC14" s="94" t="s">
        <v>462</v>
      </c>
      <c r="AD14" s="94" t="s">
        <v>463</v>
      </c>
      <c r="AE14" s="94" t="s">
        <v>464</v>
      </c>
      <c r="AF14" s="94" t="s">
        <v>465</v>
      </c>
      <c r="AG14" s="94" t="s">
        <v>396</v>
      </c>
      <c r="AH14" s="94"/>
      <c r="AI14" s="94" t="s">
        <v>466</v>
      </c>
      <c r="AJ14" s="95" t="s">
        <v>478</v>
      </c>
    </row>
    <row r="15" spans="4:36" s="8" customFormat="1" ht="18" customHeight="1">
      <c r="D15" s="104" t="s">
        <v>473</v>
      </c>
      <c r="E15" s="105" t="s">
        <v>456</v>
      </c>
      <c r="F15" s="105"/>
      <c r="G15" s="105"/>
      <c r="H15" s="105"/>
      <c r="I15" s="105"/>
      <c r="J15" s="105"/>
      <c r="K15" s="105"/>
      <c r="L15" s="105" t="s">
        <v>535</v>
      </c>
      <c r="M15" s="106">
        <f>'5.1'!L14</f>
        <v>10.1318</v>
      </c>
      <c r="N15" s="106"/>
      <c r="O15" s="105"/>
      <c r="P15" s="107"/>
      <c r="Q15" s="105"/>
      <c r="R15" s="105"/>
      <c r="S15" s="105"/>
      <c r="T15" s="105"/>
      <c r="U15" s="105"/>
      <c r="V15" s="105" t="s">
        <v>535</v>
      </c>
      <c r="W15" s="106">
        <f>'5.1'!M14</f>
        <v>10.282400000000001</v>
      </c>
      <c r="X15" s="106"/>
      <c r="Y15" s="105"/>
      <c r="Z15" s="107"/>
      <c r="AA15" s="105"/>
      <c r="AB15" s="105"/>
      <c r="AC15" s="105"/>
      <c r="AD15" s="105"/>
      <c r="AE15" s="105"/>
      <c r="AF15" s="105" t="s">
        <v>535</v>
      </c>
      <c r="AG15" s="106">
        <f>'5.1'!W14</f>
        <v>0</v>
      </c>
      <c r="AH15" s="106"/>
      <c r="AI15" s="105"/>
      <c r="AJ15" s="107"/>
    </row>
    <row r="16" spans="4:36" ht="18" customHeight="1">
      <c r="D16" s="54" t="s">
        <v>15</v>
      </c>
      <c r="E16" s="52" t="s">
        <v>429</v>
      </c>
      <c r="F16" s="56" t="s">
        <v>474</v>
      </c>
      <c r="G16" s="52">
        <v>21748156283</v>
      </c>
      <c r="H16" s="52">
        <v>21748156283</v>
      </c>
      <c r="I16" s="52"/>
      <c r="J16" s="52"/>
      <c r="K16" s="52"/>
      <c r="L16" s="52">
        <v>-207501911</v>
      </c>
      <c r="M16" s="52">
        <f>SUM(H16:L16)</f>
        <v>21540654372</v>
      </c>
      <c r="N16" s="52"/>
      <c r="O16" s="52">
        <f>M16-H16</f>
        <v>-207501911</v>
      </c>
      <c r="P16" s="96" t="s">
        <v>477</v>
      </c>
      <c r="Q16" s="52">
        <v>21748156283</v>
      </c>
      <c r="R16" s="52">
        <f>M16</f>
        <v>21540654372</v>
      </c>
      <c r="S16" s="52"/>
      <c r="T16" s="52"/>
      <c r="U16" s="52"/>
      <c r="V16" s="52">
        <v>320182253</v>
      </c>
      <c r="W16" s="52">
        <f>SUM(R16:V16)</f>
        <v>21860836625</v>
      </c>
      <c r="X16" s="52"/>
      <c r="Y16" s="52">
        <f>W16-R16</f>
        <v>320182253</v>
      </c>
      <c r="Z16" s="96"/>
      <c r="AA16" s="52">
        <f>Q16</f>
        <v>21748156283</v>
      </c>
      <c r="AB16" s="52">
        <f>M16</f>
        <v>21540654372</v>
      </c>
      <c r="AC16" s="52">
        <f t="shared" ref="AC16:AF20" si="0">S16</f>
        <v>0</v>
      </c>
      <c r="AD16" s="52">
        <f t="shared" si="0"/>
        <v>0</v>
      </c>
      <c r="AE16" s="52">
        <f t="shared" si="0"/>
        <v>0</v>
      </c>
      <c r="AF16" s="52">
        <v>0</v>
      </c>
      <c r="AG16" s="52">
        <f>SUM(AB16:AF16)</f>
        <v>21540654372</v>
      </c>
      <c r="AH16" s="52"/>
      <c r="AI16" s="52">
        <f>AG16-AB16</f>
        <v>0</v>
      </c>
      <c r="AJ16" s="96"/>
    </row>
    <row r="17" spans="4:36" ht="18" customHeight="1">
      <c r="D17" s="54" t="s">
        <v>15</v>
      </c>
      <c r="E17" s="52" t="s">
        <v>468</v>
      </c>
      <c r="F17" s="56" t="s">
        <v>474</v>
      </c>
      <c r="G17" s="52">
        <v>19842800</v>
      </c>
      <c r="H17" s="52">
        <v>19842800</v>
      </c>
      <c r="I17" s="52"/>
      <c r="J17" s="52"/>
      <c r="K17" s="52"/>
      <c r="L17" s="52"/>
      <c r="M17" s="52">
        <f>SUM(H17:L17)</f>
        <v>19842800</v>
      </c>
      <c r="N17" s="52"/>
      <c r="O17" s="52">
        <f>M17-H17</f>
        <v>0</v>
      </c>
      <c r="P17" s="96"/>
      <c r="Q17" s="52">
        <v>19842800</v>
      </c>
      <c r="R17" s="52">
        <f>M17</f>
        <v>19842800</v>
      </c>
      <c r="S17" s="52"/>
      <c r="T17" s="52"/>
      <c r="U17" s="52"/>
      <c r="V17" s="52"/>
      <c r="W17" s="52">
        <f>SUM(R17:V17)</f>
        <v>19842800</v>
      </c>
      <c r="X17" s="52"/>
      <c r="Y17" s="52">
        <f>W17-R17</f>
        <v>0</v>
      </c>
      <c r="Z17" s="96"/>
      <c r="AA17" s="52">
        <f t="shared" ref="AA17:AB20" si="1">Q17</f>
        <v>19842800</v>
      </c>
      <c r="AB17" s="52">
        <f t="shared" si="1"/>
        <v>19842800</v>
      </c>
      <c r="AC17" s="52">
        <f t="shared" si="0"/>
        <v>0</v>
      </c>
      <c r="AD17" s="52">
        <f t="shared" si="0"/>
        <v>0</v>
      </c>
      <c r="AE17" s="52">
        <f t="shared" si="0"/>
        <v>0</v>
      </c>
      <c r="AF17" s="52">
        <f t="shared" si="0"/>
        <v>0</v>
      </c>
      <c r="AG17" s="52">
        <f>SUM(AB17:AF17)</f>
        <v>19842800</v>
      </c>
      <c r="AH17" s="52"/>
      <c r="AI17" s="52">
        <f>AG17-AB17</f>
        <v>0</v>
      </c>
      <c r="AJ17" s="96"/>
    </row>
    <row r="18" spans="4:36" ht="18" customHeight="1">
      <c r="D18" s="54" t="s">
        <v>15</v>
      </c>
      <c r="E18" s="52" t="s">
        <v>480</v>
      </c>
      <c r="F18" s="56" t="s">
        <v>474</v>
      </c>
      <c r="G18" s="52">
        <v>13175822804</v>
      </c>
      <c r="H18" s="52">
        <f>G18</f>
        <v>13175822804</v>
      </c>
      <c r="I18" s="52"/>
      <c r="J18" s="52">
        <v>-13175822804</v>
      </c>
      <c r="K18" s="52"/>
      <c r="L18" s="52"/>
      <c r="M18" s="52">
        <f>SUM(H18:L18)</f>
        <v>0</v>
      </c>
      <c r="N18" s="52"/>
      <c r="O18" s="52">
        <f>M18-H18</f>
        <v>-13175822804</v>
      </c>
      <c r="P18" s="96" t="s">
        <v>469</v>
      </c>
      <c r="Q18" s="52">
        <v>13175822804</v>
      </c>
      <c r="R18" s="52">
        <f>M18</f>
        <v>0</v>
      </c>
      <c r="S18" s="52"/>
      <c r="T18" s="52"/>
      <c r="U18" s="52"/>
      <c r="V18" s="52"/>
      <c r="W18" s="52">
        <f>SUM(R18:V18)</f>
        <v>0</v>
      </c>
      <c r="X18" s="52"/>
      <c r="Y18" s="52">
        <f>W18-R18</f>
        <v>0</v>
      </c>
      <c r="Z18" s="96"/>
      <c r="AA18" s="52">
        <f t="shared" si="1"/>
        <v>13175822804</v>
      </c>
      <c r="AB18" s="52">
        <f t="shared" si="1"/>
        <v>0</v>
      </c>
      <c r="AC18" s="52">
        <f t="shared" si="0"/>
        <v>0</v>
      </c>
      <c r="AD18" s="52">
        <f t="shared" si="0"/>
        <v>0</v>
      </c>
      <c r="AE18" s="52">
        <f t="shared" si="0"/>
        <v>0</v>
      </c>
      <c r="AF18" s="52">
        <f t="shared" si="0"/>
        <v>0</v>
      </c>
      <c r="AG18" s="52">
        <f>SUM(AB18:AF18)</f>
        <v>0</v>
      </c>
      <c r="AH18" s="52"/>
      <c r="AI18" s="52">
        <f>AG18-AB18</f>
        <v>0</v>
      </c>
      <c r="AJ18" s="96"/>
    </row>
    <row r="19" spans="4:36" ht="18" customHeight="1">
      <c r="D19" s="54" t="s">
        <v>15</v>
      </c>
      <c r="E19" s="52" t="s">
        <v>216</v>
      </c>
      <c r="F19" s="56" t="s">
        <v>474</v>
      </c>
      <c r="G19" s="52">
        <v>4096993217</v>
      </c>
      <c r="H19" s="52">
        <v>0</v>
      </c>
      <c r="I19" s="52">
        <v>4096993217</v>
      </c>
      <c r="J19" s="52">
        <v>0</v>
      </c>
      <c r="K19" s="52"/>
      <c r="L19" s="52"/>
      <c r="M19" s="52">
        <f>SUM(H19:L19)</f>
        <v>4096993217</v>
      </c>
      <c r="N19" s="52"/>
      <c r="O19" s="52">
        <f>M19-H19</f>
        <v>4096993217</v>
      </c>
      <c r="P19" s="96" t="s">
        <v>470</v>
      </c>
      <c r="Q19" s="52">
        <v>4096993217</v>
      </c>
      <c r="R19" s="52">
        <f>M19</f>
        <v>4096993217</v>
      </c>
      <c r="S19" s="52">
        <f>-R19</f>
        <v>-4096993217</v>
      </c>
      <c r="T19" s="52"/>
      <c r="U19" s="52"/>
      <c r="V19" s="52"/>
      <c r="W19" s="52">
        <f>SUM(R19:V19)</f>
        <v>0</v>
      </c>
      <c r="X19" s="52"/>
      <c r="Y19" s="52">
        <f>W19-R19</f>
        <v>-4096993217</v>
      </c>
      <c r="Z19" s="96" t="s">
        <v>1588</v>
      </c>
      <c r="AA19" s="52">
        <f t="shared" si="1"/>
        <v>4096993217</v>
      </c>
      <c r="AB19" s="52">
        <f t="shared" si="1"/>
        <v>4096993217</v>
      </c>
      <c r="AC19" s="52">
        <f t="shared" si="0"/>
        <v>-4096993217</v>
      </c>
      <c r="AD19" s="52">
        <f t="shared" si="0"/>
        <v>0</v>
      </c>
      <c r="AE19" s="52">
        <f t="shared" si="0"/>
        <v>0</v>
      </c>
      <c r="AF19" s="52">
        <f t="shared" si="0"/>
        <v>0</v>
      </c>
      <c r="AG19" s="52">
        <f>SUM(AB19:AF19)</f>
        <v>0</v>
      </c>
      <c r="AH19" s="52"/>
      <c r="AI19" s="52">
        <f>AG19-AB19</f>
        <v>-4096993217</v>
      </c>
      <c r="AJ19" s="96" t="s">
        <v>1588</v>
      </c>
    </row>
    <row r="20" spans="4:36" ht="18" customHeight="1">
      <c r="D20" s="54" t="s">
        <v>15</v>
      </c>
      <c r="E20" s="52" t="s">
        <v>471</v>
      </c>
      <c r="F20" s="56" t="s">
        <v>474</v>
      </c>
      <c r="G20" s="52">
        <v>297103293</v>
      </c>
      <c r="H20" s="52">
        <v>297103293</v>
      </c>
      <c r="I20" s="52"/>
      <c r="J20" s="52">
        <v>-294995310</v>
      </c>
      <c r="K20" s="52"/>
      <c r="L20" s="52">
        <v>-2107983</v>
      </c>
      <c r="M20" s="52">
        <f>SUM(H20:L20)</f>
        <v>0</v>
      </c>
      <c r="N20" s="52"/>
      <c r="O20" s="52">
        <f>M20-H20</f>
        <v>-297103293</v>
      </c>
      <c r="P20" s="96" t="s">
        <v>481</v>
      </c>
      <c r="Q20" s="52">
        <v>297103293</v>
      </c>
      <c r="R20" s="52">
        <f>M20</f>
        <v>0</v>
      </c>
      <c r="S20" s="52"/>
      <c r="T20" s="52"/>
      <c r="U20" s="52"/>
      <c r="V20" s="52"/>
      <c r="W20" s="52">
        <f>SUM(R20:V20)</f>
        <v>0</v>
      </c>
      <c r="X20" s="52"/>
      <c r="Y20" s="52">
        <f>W20-R20</f>
        <v>0</v>
      </c>
      <c r="Z20" s="96"/>
      <c r="AA20" s="52">
        <f t="shared" si="1"/>
        <v>297103293</v>
      </c>
      <c r="AB20" s="52">
        <f t="shared" si="1"/>
        <v>0</v>
      </c>
      <c r="AC20" s="52">
        <f t="shared" si="0"/>
        <v>0</v>
      </c>
      <c r="AD20" s="52">
        <f t="shared" si="0"/>
        <v>0</v>
      </c>
      <c r="AE20" s="52">
        <f t="shared" si="0"/>
        <v>0</v>
      </c>
      <c r="AF20" s="52">
        <f t="shared" si="0"/>
        <v>0</v>
      </c>
      <c r="AG20" s="52">
        <f>SUM(AB20:AF20)</f>
        <v>0</v>
      </c>
      <c r="AH20" s="52"/>
      <c r="AI20" s="52">
        <f>AG20-AB20</f>
        <v>0</v>
      </c>
      <c r="AJ20" s="96"/>
    </row>
    <row r="21" spans="4:36" s="4" customFormat="1" ht="18" customHeight="1" thickBot="1">
      <c r="D21" s="108" t="s">
        <v>428</v>
      </c>
      <c r="E21" s="109"/>
      <c r="F21" s="110"/>
      <c r="G21" s="109">
        <f>SUM(G16:G20)</f>
        <v>39337918397</v>
      </c>
      <c r="H21" s="109">
        <f t="shared" ref="H21:M21" si="2">SUM(H16:H20)</f>
        <v>35240925180</v>
      </c>
      <c r="I21" s="109">
        <f t="shared" si="2"/>
        <v>4096993217</v>
      </c>
      <c r="J21" s="109">
        <f t="shared" si="2"/>
        <v>-13470818114</v>
      </c>
      <c r="K21" s="109">
        <f t="shared" si="2"/>
        <v>0</v>
      </c>
      <c r="L21" s="109">
        <f t="shared" si="2"/>
        <v>-209609894</v>
      </c>
      <c r="M21" s="109">
        <f t="shared" si="2"/>
        <v>25657490389</v>
      </c>
      <c r="N21" s="109"/>
      <c r="O21" s="109"/>
      <c r="P21" s="111"/>
      <c r="Q21" s="109">
        <f>SUM(Q16:Q20)</f>
        <v>39337918397</v>
      </c>
      <c r="R21" s="109">
        <f t="shared" ref="R21:W21" si="3">SUM(R16:R20)</f>
        <v>25657490389</v>
      </c>
      <c r="S21" s="109">
        <f t="shared" si="3"/>
        <v>-4096993217</v>
      </c>
      <c r="T21" s="109">
        <f t="shared" si="3"/>
        <v>0</v>
      </c>
      <c r="U21" s="109">
        <f t="shared" si="3"/>
        <v>0</v>
      </c>
      <c r="V21" s="109">
        <f t="shared" si="3"/>
        <v>320182253</v>
      </c>
      <c r="W21" s="109">
        <f t="shared" si="3"/>
        <v>21880679425</v>
      </c>
      <c r="X21" s="109"/>
      <c r="Y21" s="109"/>
      <c r="Z21" s="111"/>
      <c r="AA21" s="109">
        <f>SUM(AA16:AA20)</f>
        <v>39337918397</v>
      </c>
      <c r="AB21" s="109">
        <f t="shared" ref="AB21:AG21" si="4">SUM(AB16:AB20)</f>
        <v>25657490389</v>
      </c>
      <c r="AC21" s="109">
        <f t="shared" si="4"/>
        <v>-4096993217</v>
      </c>
      <c r="AD21" s="109">
        <f t="shared" si="4"/>
        <v>0</v>
      </c>
      <c r="AE21" s="109">
        <f t="shared" si="4"/>
        <v>0</v>
      </c>
      <c r="AF21" s="109">
        <f t="shared" si="4"/>
        <v>0</v>
      </c>
      <c r="AG21" s="109">
        <f t="shared" si="4"/>
        <v>21560497172</v>
      </c>
      <c r="AH21" s="109"/>
      <c r="AI21" s="109"/>
      <c r="AJ21" s="111"/>
    </row>
    <row r="22" spans="4:36" s="4" customFormat="1" ht="18" customHeight="1">
      <c r="M22" s="112">
        <f>M16/M6</f>
        <v>10.131799999875355</v>
      </c>
      <c r="W22" s="112">
        <f>W16/W6</f>
        <v>10.282399999990593</v>
      </c>
      <c r="AG22" s="112"/>
    </row>
    <row r="23" spans="4:36" ht="18" customHeight="1">
      <c r="W23" s="5">
        <f>W22-'5.1'!M14</f>
        <v>-9.4075858214637265E-12</v>
      </c>
    </row>
  </sheetData>
  <phoneticPr fontId="20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>
    <tabColor rgb="FF002060"/>
  </sheetPr>
  <dimension ref="D4:F18"/>
  <sheetViews>
    <sheetView showGridLines="0" zoomScale="85" zoomScaleNormal="85" workbookViewId="0">
      <selection activeCell="E16" sqref="E16"/>
    </sheetView>
  </sheetViews>
  <sheetFormatPr defaultColWidth="9.125" defaultRowHeight="17.100000000000001" customHeight="1"/>
  <cols>
    <col min="1" max="3" width="2.75" style="5" customWidth="1"/>
    <col min="4" max="17" width="20.75" style="5" customWidth="1"/>
    <col min="18" max="16384" width="9.125" style="5"/>
  </cols>
  <sheetData>
    <row r="4" spans="4:6" ht="17.100000000000001" customHeight="1">
      <c r="D4" s="4" t="s">
        <v>1876</v>
      </c>
    </row>
    <row r="5" spans="4:6" s="4" customFormat="1" ht="17.100000000000001" customHeight="1" thickBot="1">
      <c r="D5" s="410"/>
      <c r="E5" s="411" t="s">
        <v>454</v>
      </c>
    </row>
    <row r="6" spans="4:6" ht="17.100000000000001" customHeight="1">
      <c r="D6" s="5" t="s">
        <v>1809</v>
      </c>
      <c r="E6" s="5">
        <v>479716747</v>
      </c>
      <c r="F6" s="5" t="s">
        <v>1890</v>
      </c>
    </row>
    <row r="7" spans="4:6" ht="17.100000000000001" customHeight="1">
      <c r="D7" s="5" t="s">
        <v>1854</v>
      </c>
      <c r="E7" s="5">
        <v>-443862200</v>
      </c>
      <c r="F7" s="5" t="s">
        <v>1889</v>
      </c>
    </row>
    <row r="8" spans="4:6" ht="17.100000000000001" customHeight="1">
      <c r="D8" s="5" t="s">
        <v>1855</v>
      </c>
      <c r="E8" s="5">
        <v>0</v>
      </c>
    </row>
    <row r="9" spans="4:6" ht="17.100000000000001" customHeight="1">
      <c r="D9" s="5" t="s">
        <v>218</v>
      </c>
      <c r="E9" s="5">
        <v>5807400</v>
      </c>
      <c r="F9" s="5" t="s">
        <v>1891</v>
      </c>
    </row>
    <row r="10" spans="4:6" ht="17.100000000000001" customHeight="1">
      <c r="D10" s="5" t="s">
        <v>129</v>
      </c>
      <c r="E10" s="5">
        <f>'5.2'!AO7</f>
        <v>2126044175</v>
      </c>
    </row>
    <row r="11" spans="4:6" ht="17.100000000000001" customHeight="1">
      <c r="D11" s="5" t="s">
        <v>1856</v>
      </c>
      <c r="E11" s="5">
        <f>'5.1'!P7</f>
        <v>500422500</v>
      </c>
    </row>
    <row r="12" spans="4:6" ht="17.100000000000001" customHeight="1">
      <c r="D12" s="5" t="s">
        <v>665</v>
      </c>
      <c r="E12" s="5">
        <f>-'5.1'!P10</f>
        <v>-174197075</v>
      </c>
    </row>
    <row r="13" spans="4:6" s="4" customFormat="1" ht="17.100000000000001" customHeight="1" thickBot="1">
      <c r="D13" s="378" t="s">
        <v>1857</v>
      </c>
      <c r="E13" s="378">
        <f>SUM(E6:E12)</f>
        <v>2493931547</v>
      </c>
    </row>
    <row r="14" spans="4:6" s="4" customFormat="1" ht="17.100000000000001" customHeight="1" thickTop="1">
      <c r="D14" s="187"/>
      <c r="E14" s="187"/>
    </row>
    <row r="15" spans="4:6" s="4" customFormat="1" ht="17.100000000000001" customHeight="1">
      <c r="D15" s="187" t="s">
        <v>1875</v>
      </c>
      <c r="E15" s="187">
        <v>557470033.75167131</v>
      </c>
      <c r="F15" s="4" t="s">
        <v>1892</v>
      </c>
    </row>
    <row r="16" spans="4:6" s="4" customFormat="1" ht="17.100000000000001" customHeight="1" thickBot="1">
      <c r="D16" s="410" t="s">
        <v>611</v>
      </c>
      <c r="E16" s="410">
        <f>E15-E13</f>
        <v>-1936461513.2483287</v>
      </c>
      <c r="F16" s="4" t="s">
        <v>1867</v>
      </c>
    </row>
    <row r="18" spans="5:5" ht="17.100000000000001" customHeight="1">
      <c r="E18" s="5">
        <f>+'5.2'!AQ18</f>
        <v>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>
    <tabColor rgb="FFFFFF00"/>
  </sheetPr>
  <dimension ref="D4:AE51"/>
  <sheetViews>
    <sheetView showGridLines="0" zoomScale="80" zoomScaleNormal="80" workbookViewId="0">
      <pane xSplit="4" ySplit="5" topLeftCell="K6" activePane="bottomRight" state="frozen"/>
      <selection activeCell="J13" sqref="J13"/>
      <selection pane="topRight" activeCell="J13" sqref="J13"/>
      <selection pane="bottomLeft" activeCell="J13" sqref="J13"/>
      <selection pane="bottomRight" activeCell="U22" sqref="U22"/>
    </sheetView>
  </sheetViews>
  <sheetFormatPr defaultColWidth="8.75" defaultRowHeight="18" customHeight="1"/>
  <cols>
    <col min="1" max="3" width="2.375" style="5" customWidth="1"/>
    <col min="4" max="6" width="25.375" style="5" customWidth="1"/>
    <col min="7" max="8" width="25.375" style="5" hidden="1" customWidth="1"/>
    <col min="9" max="14" width="25.375" style="5" customWidth="1"/>
    <col min="15" max="16" width="20.375" style="5" customWidth="1"/>
    <col min="17" max="17" width="7.125" style="5" bestFit="1" customWidth="1"/>
    <col min="18" max="18" width="13.375" style="5" bestFit="1" customWidth="1"/>
    <col min="19" max="21" width="20.375" style="5" customWidth="1"/>
    <col min="22" max="23" width="8.75" style="5"/>
    <col min="24" max="25" width="0" style="5" hidden="1" customWidth="1"/>
    <col min="26" max="26" width="11.25" style="5" hidden="1" customWidth="1"/>
    <col min="27" max="29" width="0" style="5" hidden="1" customWidth="1"/>
    <col min="30" max="30" width="11.25" style="5" hidden="1" customWidth="1"/>
    <col min="31" max="31" width="0" style="5" hidden="1" customWidth="1"/>
    <col min="32" max="16384" width="8.75" style="5"/>
  </cols>
  <sheetData>
    <row r="4" spans="4:31" s="26" customFormat="1" ht="18" customHeight="1" thickBot="1">
      <c r="F4" s="26" t="b">
        <v>1</v>
      </c>
      <c r="G4" s="26" t="b">
        <v>1</v>
      </c>
      <c r="H4" s="26" t="b">
        <v>1</v>
      </c>
      <c r="I4" s="26" t="b">
        <v>1</v>
      </c>
      <c r="J4" s="26" t="b">
        <f>SUM(J6:J38)=0</f>
        <v>1</v>
      </c>
      <c r="K4" s="26" t="b">
        <f>SUM(K6:K38)=0</f>
        <v>1</v>
      </c>
      <c r="L4" s="26" t="b">
        <f>SUM(L6:L38)=0</f>
        <v>1</v>
      </c>
      <c r="M4" s="26" t="b">
        <f>SUM(M6:M38)=0</f>
        <v>1</v>
      </c>
      <c r="N4" s="26" t="b">
        <f>SUM(N6:N38)=0</f>
        <v>1</v>
      </c>
    </row>
    <row r="5" spans="4:31" ht="18" customHeight="1">
      <c r="D5" s="391" t="s">
        <v>16</v>
      </c>
      <c r="E5" s="392" t="s">
        <v>19</v>
      </c>
      <c r="F5" s="392" t="s">
        <v>394</v>
      </c>
      <c r="G5" s="392" t="s">
        <v>395</v>
      </c>
      <c r="H5" s="392" t="s">
        <v>396</v>
      </c>
      <c r="I5" s="392" t="s">
        <v>397</v>
      </c>
      <c r="J5" s="392" t="s">
        <v>398</v>
      </c>
      <c r="K5" s="392" t="s">
        <v>1984</v>
      </c>
      <c r="L5" s="516" t="s">
        <v>2171</v>
      </c>
      <c r="M5" s="516" t="s">
        <v>2206</v>
      </c>
      <c r="N5" s="393" t="str">
        <f>+'5.0'!N5</f>
        <v>2020 4Q</v>
      </c>
      <c r="Q5" s="392" t="s">
        <v>1908</v>
      </c>
      <c r="R5" s="392" t="s">
        <v>1907</v>
      </c>
      <c r="S5" s="392" t="s">
        <v>1909</v>
      </c>
      <c r="T5" s="392" t="s">
        <v>1910</v>
      </c>
    </row>
    <row r="6" spans="4:31" s="238" customFormat="1" ht="18" customHeight="1">
      <c r="D6" s="400" t="s">
        <v>556</v>
      </c>
      <c r="E6" s="401"/>
      <c r="F6" s="401"/>
      <c r="G6" s="401"/>
      <c r="H6" s="401"/>
      <c r="I6" s="401"/>
      <c r="J6" s="401"/>
      <c r="K6" s="401"/>
      <c r="L6" s="794"/>
      <c r="M6" s="794"/>
      <c r="N6" s="402"/>
      <c r="Q6" s="401" t="str">
        <f>+D6</f>
        <v>ENT,  INC., groovers jp 매출재분류 (연결관점에서는 Inc.의 매출이 제품매출)</v>
      </c>
      <c r="R6" s="401"/>
      <c r="S6" s="401"/>
      <c r="T6" s="401"/>
    </row>
    <row r="7" spans="4:31" s="238" customFormat="1" ht="18" customHeight="1">
      <c r="D7" s="403">
        <v>410100</v>
      </c>
      <c r="E7" s="404" t="s">
        <v>229</v>
      </c>
      <c r="F7" s="404">
        <v>0</v>
      </c>
      <c r="G7" s="404"/>
      <c r="H7" s="404"/>
      <c r="I7" s="404">
        <v>2078319232</v>
      </c>
      <c r="J7" s="404">
        <f>SUM(T_IS!H7:H10)</f>
        <v>27493791618</v>
      </c>
      <c r="K7" s="404">
        <v>0</v>
      </c>
      <c r="L7" s="524"/>
      <c r="M7" s="524">
        <v>396878458</v>
      </c>
      <c r="N7" s="866">
        <f>-N8</f>
        <v>404060038</v>
      </c>
      <c r="Q7" s="404">
        <f>+D7</f>
        <v>410100</v>
      </c>
      <c r="R7" s="404" t="str">
        <f>+E7</f>
        <v>상품매출</v>
      </c>
      <c r="S7" s="404">
        <f>IF(N7&gt;0,N7,0)</f>
        <v>404060038</v>
      </c>
      <c r="T7" s="404">
        <f>IF(N7&lt;0,-N7,0)</f>
        <v>0</v>
      </c>
    </row>
    <row r="8" spans="4:31" s="238" customFormat="1" ht="18" customHeight="1">
      <c r="D8" s="403">
        <v>410200</v>
      </c>
      <c r="E8" s="404" t="s">
        <v>230</v>
      </c>
      <c r="F8" s="404">
        <v>0</v>
      </c>
      <c r="G8" s="404"/>
      <c r="H8" s="404"/>
      <c r="I8" s="404">
        <v>-2078319232</v>
      </c>
      <c r="J8" s="404">
        <f>-J7</f>
        <v>-27493791618</v>
      </c>
      <c r="K8" s="404">
        <v>0</v>
      </c>
      <c r="L8" s="524"/>
      <c r="M8" s="524">
        <v>-396878458</v>
      </c>
      <c r="N8" s="866">
        <f>-'4.0'!AC43</f>
        <v>-404060038</v>
      </c>
      <c r="Q8" s="404">
        <f>+D8</f>
        <v>410200</v>
      </c>
      <c r="R8" s="404" t="str">
        <f>+E8</f>
        <v>제품매출</v>
      </c>
      <c r="S8" s="404">
        <f>IF(N8&gt;0,N8,0)</f>
        <v>0</v>
      </c>
      <c r="T8" s="404">
        <f>IF(N8&lt;0,-N8,0)</f>
        <v>404060038</v>
      </c>
      <c r="U8" s="5" t="s">
        <v>2217</v>
      </c>
    </row>
    <row r="9" spans="4:31" s="238" customFormat="1" ht="18" customHeight="1">
      <c r="D9" s="406" t="s">
        <v>239</v>
      </c>
      <c r="E9" s="404" t="s">
        <v>240</v>
      </c>
      <c r="F9" s="404">
        <v>-3045560336</v>
      </c>
      <c r="G9" s="404">
        <v>-1368838901</v>
      </c>
      <c r="H9" s="404">
        <v>-5081605792</v>
      </c>
      <c r="I9" s="404">
        <v>-1389098959</v>
      </c>
      <c r="J9" s="404">
        <f>-SUM(T_IS!H27:H27)</f>
        <v>-22943956318</v>
      </c>
      <c r="K9" s="404">
        <v>0</v>
      </c>
      <c r="L9" s="524"/>
      <c r="M9" s="524">
        <v>-222095445</v>
      </c>
      <c r="N9" s="866">
        <f>-'3.0'!M23+'4.0'!N44</f>
        <v>-187060762</v>
      </c>
      <c r="Q9" s="404" t="str">
        <f>+D9</f>
        <v>420090</v>
      </c>
      <c r="R9" s="404" t="str">
        <f>+E9</f>
        <v>상품매출원가</v>
      </c>
      <c r="S9" s="404">
        <f>IF(N9&gt;0,N9,0)</f>
        <v>0</v>
      </c>
      <c r="T9" s="404">
        <f>IF(N9&lt;0,-N9,0)</f>
        <v>187060762</v>
      </c>
      <c r="U9" s="5" t="s">
        <v>2243</v>
      </c>
    </row>
    <row r="10" spans="4:31" ht="18" customHeight="1">
      <c r="D10" s="407" t="s">
        <v>241</v>
      </c>
      <c r="E10" s="7" t="s">
        <v>242</v>
      </c>
      <c r="F10" s="7">
        <v>3045560336</v>
      </c>
      <c r="G10" s="7">
        <v>1368838901</v>
      </c>
      <c r="H10" s="7">
        <v>5081605792</v>
      </c>
      <c r="I10" s="211">
        <v>1389098959</v>
      </c>
      <c r="J10" s="211">
        <f>-J9</f>
        <v>22943956318</v>
      </c>
      <c r="K10" s="211">
        <v>0</v>
      </c>
      <c r="L10" s="211"/>
      <c r="M10" s="211">
        <v>222095445</v>
      </c>
      <c r="N10" s="867">
        <f>-N9</f>
        <v>187060762</v>
      </c>
      <c r="O10" s="238">
        <f>ROUND(O9*'4.0'!$U$48,)</f>
        <v>0</v>
      </c>
      <c r="P10" s="238"/>
      <c r="Q10" s="404" t="str">
        <f>+D10</f>
        <v>420199</v>
      </c>
      <c r="R10" s="404" t="str">
        <f>+E10</f>
        <v>제품매출원가</v>
      </c>
      <c r="S10" s="404">
        <f>IF(N10&gt;0,N10,0)</f>
        <v>187060762</v>
      </c>
      <c r="T10" s="404">
        <f>IF(N10&lt;0,-N10,0)</f>
        <v>0</v>
      </c>
    </row>
    <row r="11" spans="4:31" ht="18" customHeight="1">
      <c r="D11" s="458" t="s">
        <v>1914</v>
      </c>
      <c r="E11" s="5" t="s">
        <v>2208</v>
      </c>
      <c r="F11" s="7"/>
      <c r="G11" s="7"/>
      <c r="H11" s="7"/>
      <c r="I11" s="211"/>
      <c r="J11" s="211"/>
      <c r="K11" s="211"/>
      <c r="L11" s="211"/>
      <c r="M11" s="211">
        <v>45943748</v>
      </c>
      <c r="N11" s="867">
        <f>'4.0'!N44</f>
        <v>35034683</v>
      </c>
      <c r="O11" s="238"/>
      <c r="P11" s="238"/>
      <c r="Q11" s="404" t="s">
        <v>1914</v>
      </c>
      <c r="R11" s="404" t="s">
        <v>2208</v>
      </c>
      <c r="S11" s="404">
        <f>N11</f>
        <v>35034683</v>
      </c>
      <c r="T11" s="404"/>
      <c r="U11" s="5" t="s">
        <v>2253</v>
      </c>
    </row>
    <row r="12" spans="4:31" ht="18" customHeight="1">
      <c r="D12" s="458" t="s">
        <v>2210</v>
      </c>
      <c r="E12" s="5" t="s">
        <v>2209</v>
      </c>
      <c r="F12" s="7"/>
      <c r="G12" s="7"/>
      <c r="H12" s="7"/>
      <c r="I12" s="211"/>
      <c r="J12" s="211"/>
      <c r="K12" s="211"/>
      <c r="L12" s="211"/>
      <c r="M12" s="211">
        <v>-45943748</v>
      </c>
      <c r="N12" s="867">
        <f>-N11</f>
        <v>-35034683</v>
      </c>
      <c r="O12" s="238"/>
      <c r="P12" s="238"/>
      <c r="Q12" s="404" t="s">
        <v>2210</v>
      </c>
      <c r="R12" s="404" t="s">
        <v>2209</v>
      </c>
      <c r="S12" s="404"/>
      <c r="T12" s="404">
        <f>-N12</f>
        <v>35034683</v>
      </c>
      <c r="U12" s="5" t="s">
        <v>2253</v>
      </c>
      <c r="X12" s="5" t="s">
        <v>1985</v>
      </c>
      <c r="AA12" s="5" t="s">
        <v>2207</v>
      </c>
      <c r="AC12" s="5" t="s">
        <v>2240</v>
      </c>
    </row>
    <row r="13" spans="4:31" s="238" customFormat="1" ht="18" customHeight="1">
      <c r="D13" s="400" t="s">
        <v>465</v>
      </c>
      <c r="E13" s="401"/>
      <c r="F13" s="401"/>
      <c r="G13" s="401"/>
      <c r="H13" s="401"/>
      <c r="I13" s="401"/>
      <c r="J13" s="401"/>
      <c r="K13" s="401"/>
      <c r="L13" s="794"/>
      <c r="M13" s="794"/>
      <c r="N13" s="402"/>
      <c r="Q13" s="401"/>
      <c r="R13" s="401"/>
      <c r="S13" s="401"/>
      <c r="T13" s="401"/>
      <c r="X13" s="238" t="s">
        <v>2239</v>
      </c>
      <c r="Z13" s="238">
        <v>100</v>
      </c>
      <c r="AA13" s="238" t="s">
        <v>2209</v>
      </c>
      <c r="AB13" s="238">
        <v>100</v>
      </c>
      <c r="AD13" s="238" t="s">
        <v>2239</v>
      </c>
      <c r="AE13" s="238">
        <f>Z13-Y27+Z42</f>
        <v>120</v>
      </c>
    </row>
    <row r="14" spans="4:31" s="238" customFormat="1" ht="18" customHeight="1">
      <c r="D14" s="403" t="s">
        <v>301</v>
      </c>
      <c r="E14" s="404" t="s">
        <v>302</v>
      </c>
      <c r="F14" s="404">
        <v>-3197875</v>
      </c>
      <c r="G14" s="404">
        <v>0</v>
      </c>
      <c r="H14" s="404">
        <v>16711699</v>
      </c>
      <c r="I14" s="404">
        <v>-79655580</v>
      </c>
      <c r="J14" s="404"/>
      <c r="K14" s="404"/>
      <c r="L14" s="524"/>
      <c r="M14" s="524"/>
      <c r="N14" s="405"/>
      <c r="Q14" s="404"/>
      <c r="R14" s="404"/>
      <c r="S14" s="404"/>
      <c r="T14" s="404"/>
      <c r="X14" s="238" t="s">
        <v>2237</v>
      </c>
      <c r="Y14" s="238">
        <v>80</v>
      </c>
      <c r="AD14" s="238" t="s">
        <v>2241</v>
      </c>
      <c r="AE14" s="238">
        <f>AB17-Y43</f>
        <v>0</v>
      </c>
    </row>
    <row r="15" spans="4:31" s="238" customFormat="1" ht="18" customHeight="1">
      <c r="D15" s="403" t="s">
        <v>295</v>
      </c>
      <c r="E15" s="404" t="s">
        <v>296</v>
      </c>
      <c r="F15" s="404">
        <v>3197875</v>
      </c>
      <c r="G15" s="211">
        <v>0</v>
      </c>
      <c r="H15" s="404">
        <v>-16711699</v>
      </c>
      <c r="I15" s="404">
        <v>79655580</v>
      </c>
      <c r="J15" s="404"/>
      <c r="K15" s="404"/>
      <c r="L15" s="524"/>
      <c r="M15" s="524"/>
      <c r="N15" s="405"/>
      <c r="Q15" s="404"/>
      <c r="R15" s="404"/>
      <c r="S15" s="404"/>
      <c r="T15" s="404"/>
      <c r="X15" s="238" t="s">
        <v>2208</v>
      </c>
      <c r="Z15" s="238">
        <v>80</v>
      </c>
      <c r="AD15" s="238" t="s">
        <v>2209</v>
      </c>
      <c r="AE15" s="238">
        <f>25-Z38</f>
        <v>0</v>
      </c>
    </row>
    <row r="16" spans="4:31" s="238" customFormat="1" ht="18" customHeight="1">
      <c r="D16" s="400" t="s">
        <v>465</v>
      </c>
      <c r="E16" s="401"/>
      <c r="F16" s="401"/>
      <c r="G16" s="401"/>
      <c r="H16" s="401"/>
      <c r="I16" s="401"/>
      <c r="J16" s="401"/>
      <c r="K16" s="401"/>
      <c r="L16" s="794"/>
      <c r="M16" s="794"/>
      <c r="N16" s="402"/>
      <c r="Q16" s="401" t="s">
        <v>1918</v>
      </c>
      <c r="R16" s="401"/>
      <c r="S16" s="401"/>
      <c r="T16" s="401"/>
      <c r="AD16" s="238" t="s">
        <v>2237</v>
      </c>
      <c r="AE16" s="238">
        <f>Y14-Z28+Y29+Y32-Z35</f>
        <v>60</v>
      </c>
    </row>
    <row r="17" spans="4:31" s="238" customFormat="1" ht="18" customHeight="1">
      <c r="D17" s="408" t="s">
        <v>1915</v>
      </c>
      <c r="E17" s="404" t="s">
        <v>26</v>
      </c>
      <c r="F17" s="404"/>
      <c r="G17" s="404"/>
      <c r="H17" s="404"/>
      <c r="I17" s="404"/>
      <c r="J17" s="404">
        <v>-327031541</v>
      </c>
      <c r="K17" s="404">
        <v>-345748871</v>
      </c>
      <c r="L17" s="524">
        <v>-339552857</v>
      </c>
      <c r="M17" s="524">
        <v>-359515514</v>
      </c>
      <c r="N17" s="866">
        <f>-N18</f>
        <v>-282047680</v>
      </c>
      <c r="Q17" s="404" t="str">
        <f t="shared" ref="Q17:R20" si="0">+D17</f>
        <v>111731</v>
      </c>
      <c r="R17" s="404" t="str">
        <f t="shared" si="0"/>
        <v>외상매출금(외화)</v>
      </c>
      <c r="S17" s="404">
        <f>IF(N17&gt;0,N17,0)</f>
        <v>0</v>
      </c>
      <c r="T17" s="404">
        <f>IF(N17&lt;0,-N17,0)</f>
        <v>282047680</v>
      </c>
      <c r="X17" s="238" t="s">
        <v>2241</v>
      </c>
      <c r="AB17" s="238">
        <v>120</v>
      </c>
      <c r="AD17" s="238" t="s">
        <v>2211</v>
      </c>
      <c r="AE17" s="238">
        <f>AA18-Z33+Y36</f>
        <v>0</v>
      </c>
    </row>
    <row r="18" spans="4:31" s="238" customFormat="1" ht="18" customHeight="1">
      <c r="D18" s="408" t="s">
        <v>1917</v>
      </c>
      <c r="E18" s="404" t="s">
        <v>33</v>
      </c>
      <c r="F18" s="404"/>
      <c r="G18" s="404"/>
      <c r="H18" s="404"/>
      <c r="I18" s="404"/>
      <c r="J18" s="404">
        <f>-J17</f>
        <v>327031541</v>
      </c>
      <c r="K18" s="404">
        <v>345748871</v>
      </c>
      <c r="L18" s="524">
        <v>339552857</v>
      </c>
      <c r="M18" s="524">
        <v>359515514</v>
      </c>
      <c r="N18" s="866">
        <f>O18</f>
        <v>282047680</v>
      </c>
      <c r="O18" s="493">
        <v>282047680</v>
      </c>
      <c r="Q18" s="404" t="str">
        <f t="shared" si="0"/>
        <v>112113</v>
      </c>
      <c r="R18" s="404" t="str">
        <f t="shared" si="0"/>
        <v>미수금(외화_일반)</v>
      </c>
      <c r="S18" s="404">
        <f>IF(N18&gt;0,N18,0)</f>
        <v>282047680</v>
      </c>
      <c r="T18" s="404">
        <f>IF(N18&lt;0,-N18,0)</f>
        <v>0</v>
      </c>
      <c r="U18" s="238">
        <v>259230.11</v>
      </c>
      <c r="X18" s="238" t="s">
        <v>2211</v>
      </c>
      <c r="AA18" s="238">
        <v>75</v>
      </c>
      <c r="AD18" s="238" t="s">
        <v>2208</v>
      </c>
      <c r="AE18" s="238">
        <f>-5+Y39</f>
        <v>20</v>
      </c>
    </row>
    <row r="19" spans="4:31" s="238" customFormat="1" ht="18" customHeight="1">
      <c r="D19" s="408" t="s">
        <v>1916</v>
      </c>
      <c r="E19" s="404" t="s">
        <v>1802</v>
      </c>
      <c r="F19" s="404"/>
      <c r="G19" s="404"/>
      <c r="H19" s="404"/>
      <c r="I19" s="404"/>
      <c r="J19" s="404">
        <v>-300136621</v>
      </c>
      <c r="K19" s="404">
        <v>-230497964</v>
      </c>
      <c r="L19" s="524">
        <v>-141484785</v>
      </c>
      <c r="M19" s="524">
        <v>-55315563</v>
      </c>
      <c r="N19" s="839">
        <f>-N20</f>
        <v>0</v>
      </c>
      <c r="Q19" s="404" t="str">
        <f t="shared" si="0"/>
        <v>121800</v>
      </c>
      <c r="R19" s="404" t="str">
        <f t="shared" si="0"/>
        <v>외상매출금(외화_비유동)</v>
      </c>
      <c r="S19" s="404">
        <f>IF(N19&gt;0,N19,0)</f>
        <v>0</v>
      </c>
      <c r="T19" s="404">
        <f>IF(N19&lt;0,-N19,0)</f>
        <v>0</v>
      </c>
      <c r="X19" s="238" t="s">
        <v>2209</v>
      </c>
      <c r="AB19" s="238">
        <v>75</v>
      </c>
    </row>
    <row r="20" spans="4:31" s="238" customFormat="1" ht="18" customHeight="1">
      <c r="D20" s="403" t="s">
        <v>1893</v>
      </c>
      <c r="E20" s="404" t="s">
        <v>1894</v>
      </c>
      <c r="F20" s="404"/>
      <c r="G20" s="404"/>
      <c r="H20" s="404"/>
      <c r="I20" s="404"/>
      <c r="J20" s="404">
        <f>-J19</f>
        <v>300136621</v>
      </c>
      <c r="K20" s="404">
        <v>230497964</v>
      </c>
      <c r="L20" s="524">
        <v>141484785</v>
      </c>
      <c r="M20" s="524">
        <v>55315563</v>
      </c>
      <c r="N20" s="839">
        <f>O20</f>
        <v>0</v>
      </c>
      <c r="O20" s="827"/>
      <c r="Q20" s="404" t="str">
        <f t="shared" si="0"/>
        <v>121805**</v>
      </c>
      <c r="R20" s="404" t="str">
        <f t="shared" si="0"/>
        <v>장기미수금</v>
      </c>
      <c r="S20" s="404">
        <f>IF(N20&gt;0,N20,0)</f>
        <v>0</v>
      </c>
      <c r="T20" s="404">
        <f>IF(N20&lt;0,-N20,0)</f>
        <v>0</v>
      </c>
    </row>
    <row r="21" spans="4:31" s="238" customFormat="1" ht="18" customHeight="1">
      <c r="D21" s="403"/>
      <c r="E21" s="404"/>
      <c r="F21" s="404"/>
      <c r="G21" s="404"/>
      <c r="H21" s="404"/>
      <c r="I21" s="404"/>
      <c r="J21" s="404"/>
      <c r="K21" s="404"/>
      <c r="L21" s="524"/>
      <c r="M21" s="524"/>
      <c r="N21" s="405"/>
      <c r="Q21" s="404"/>
      <c r="R21" s="404"/>
      <c r="S21" s="404"/>
      <c r="T21" s="404"/>
      <c r="X21" s="838" t="s">
        <v>2239</v>
      </c>
      <c r="Y21" s="838"/>
      <c r="Z21" s="838">
        <f>AB17</f>
        <v>120</v>
      </c>
    </row>
    <row r="22" spans="4:31" ht="18" customHeight="1">
      <c r="D22" s="400" t="s">
        <v>1959</v>
      </c>
      <c r="E22" s="401"/>
      <c r="F22" s="401"/>
      <c r="G22" s="401"/>
      <c r="H22" s="401"/>
      <c r="I22" s="401"/>
      <c r="J22" s="401"/>
      <c r="K22" s="401"/>
      <c r="L22" s="794"/>
      <c r="M22" s="794"/>
      <c r="N22" s="402"/>
      <c r="Q22" s="52"/>
      <c r="R22" s="52"/>
      <c r="S22" s="52"/>
      <c r="T22" s="52"/>
      <c r="X22" s="838" t="s">
        <v>2237</v>
      </c>
      <c r="Y22" s="838">
        <f>Z15*0.75</f>
        <v>60</v>
      </c>
      <c r="Z22" s="838"/>
    </row>
    <row r="23" spans="4:31" ht="18" customHeight="1">
      <c r="D23" s="394"/>
      <c r="E23" s="52" t="s">
        <v>1960</v>
      </c>
      <c r="F23" s="52"/>
      <c r="G23" s="52"/>
      <c r="H23" s="52"/>
      <c r="I23" s="52"/>
      <c r="J23" s="52"/>
      <c r="K23" s="52"/>
      <c r="L23" s="396"/>
      <c r="M23" s="396"/>
      <c r="N23" s="53"/>
      <c r="Q23" s="52"/>
      <c r="R23" s="52"/>
      <c r="S23" s="52"/>
      <c r="T23" s="52"/>
      <c r="X23" s="838" t="s">
        <v>2208</v>
      </c>
      <c r="Y23" s="838"/>
      <c r="Z23" s="838">
        <f>Y22</f>
        <v>60</v>
      </c>
    </row>
    <row r="24" spans="4:31" ht="18" customHeight="1">
      <c r="D24" s="394" t="s">
        <v>263</v>
      </c>
      <c r="E24" s="52" t="s">
        <v>264</v>
      </c>
      <c r="F24" s="52"/>
      <c r="G24" s="52"/>
      <c r="H24" s="52"/>
      <c r="I24" s="52"/>
      <c r="J24" s="52"/>
      <c r="K24" s="52">
        <v>-2711392</v>
      </c>
      <c r="L24" s="396">
        <v>-5930949</v>
      </c>
      <c r="M24" s="396">
        <v>-9296142</v>
      </c>
      <c r="N24" s="866">
        <v>-12629042</v>
      </c>
      <c r="Q24" s="52" t="s">
        <v>263</v>
      </c>
      <c r="R24" s="52" t="s">
        <v>264</v>
      </c>
      <c r="S24" s="404">
        <f>+N24</f>
        <v>-12629042</v>
      </c>
      <c r="T24" s="404">
        <f>IF(O24&gt;0,O24,0)</f>
        <v>0</v>
      </c>
      <c r="X24" s="838"/>
      <c r="Y24" s="838"/>
      <c r="Z24" s="838"/>
    </row>
    <row r="25" spans="4:31" ht="18" customHeight="1">
      <c r="D25" s="394" t="s">
        <v>269</v>
      </c>
      <c r="E25" s="52" t="s">
        <v>270</v>
      </c>
      <c r="F25" s="52"/>
      <c r="G25" s="52"/>
      <c r="H25" s="52"/>
      <c r="I25" s="52"/>
      <c r="J25" s="52"/>
      <c r="K25" s="52">
        <v>-10713861</v>
      </c>
      <c r="L25" s="396">
        <v>-21427722</v>
      </c>
      <c r="M25" s="396">
        <v>-32141583</v>
      </c>
      <c r="N25" s="866">
        <v>-42855444</v>
      </c>
      <c r="Q25" s="52" t="s">
        <v>269</v>
      </c>
      <c r="R25" s="52" t="s">
        <v>270</v>
      </c>
      <c r="S25" s="404">
        <f>+N25</f>
        <v>-42855444</v>
      </c>
      <c r="T25" s="404">
        <f>IF(O25&gt;0,O25,0)</f>
        <v>0</v>
      </c>
      <c r="X25" s="838" t="s">
        <v>2242</v>
      </c>
      <c r="Y25" s="838">
        <f>Z15-Y22</f>
        <v>20</v>
      </c>
      <c r="Z25" s="838"/>
    </row>
    <row r="26" spans="4:31" ht="18" customHeight="1">
      <c r="D26" s="394">
        <v>630000</v>
      </c>
      <c r="E26" s="52" t="s">
        <v>276</v>
      </c>
      <c r="F26" s="52"/>
      <c r="G26" s="52"/>
      <c r="H26" s="52"/>
      <c r="I26" s="52"/>
      <c r="J26" s="52"/>
      <c r="K26" s="52">
        <v>-7684551</v>
      </c>
      <c r="L26" s="396">
        <v>-14413581</v>
      </c>
      <c r="M26" s="396">
        <v>-20964931</v>
      </c>
      <c r="N26" s="866">
        <v>-27221131</v>
      </c>
      <c r="Q26" s="52">
        <v>630000</v>
      </c>
      <c r="R26" s="52" t="s">
        <v>276</v>
      </c>
      <c r="S26" s="404">
        <f>+N26</f>
        <v>-27221131</v>
      </c>
      <c r="T26" s="404">
        <f>IF(O26&gt;0,O26,0)</f>
        <v>0</v>
      </c>
    </row>
    <row r="27" spans="4:31" ht="18" customHeight="1">
      <c r="D27" s="394" t="s">
        <v>1955</v>
      </c>
      <c r="E27" s="52" t="s">
        <v>1796</v>
      </c>
      <c r="F27" s="52"/>
      <c r="G27" s="52"/>
      <c r="H27" s="52"/>
      <c r="I27" s="52"/>
      <c r="J27" s="52"/>
      <c r="K27" s="52">
        <v>11373201</v>
      </c>
      <c r="L27" s="396">
        <v>22807062</v>
      </c>
      <c r="M27" s="396">
        <v>34240923</v>
      </c>
      <c r="N27" s="866">
        <v>45674784</v>
      </c>
      <c r="Q27" s="52" t="s">
        <v>1955</v>
      </c>
      <c r="R27" s="52" t="s">
        <v>1796</v>
      </c>
      <c r="S27" s="404">
        <f>IF(N27&gt;0,N27,0)</f>
        <v>45674784</v>
      </c>
      <c r="T27" s="404">
        <f>IF(O27&gt;0,O27,0)</f>
        <v>0</v>
      </c>
      <c r="X27" s="238" t="s">
        <v>2239</v>
      </c>
      <c r="Y27" s="5">
        <f>Z13</f>
        <v>100</v>
      </c>
    </row>
    <row r="28" spans="4:31" ht="18" customHeight="1">
      <c r="D28" s="394" t="s">
        <v>1957</v>
      </c>
      <c r="E28" s="52" t="s">
        <v>1797</v>
      </c>
      <c r="F28" s="52"/>
      <c r="G28" s="52"/>
      <c r="H28" s="52"/>
      <c r="I28" s="52"/>
      <c r="J28" s="52"/>
      <c r="K28" s="52">
        <v>9736603</v>
      </c>
      <c r="L28" s="396">
        <v>18965190</v>
      </c>
      <c r="M28" s="396">
        <v>28161733</v>
      </c>
      <c r="N28" s="866">
        <v>37030833</v>
      </c>
      <c r="Q28" s="52" t="s">
        <v>1957</v>
      </c>
      <c r="R28" s="52" t="s">
        <v>1797</v>
      </c>
      <c r="S28" s="404">
        <f>IF(N28&gt;0,N28,0)</f>
        <v>37030833</v>
      </c>
      <c r="T28" s="404">
        <f>IF(O28&gt;0,O28,0)</f>
        <v>0</v>
      </c>
      <c r="X28" s="238" t="s">
        <v>2237</v>
      </c>
      <c r="Z28" s="5">
        <v>100</v>
      </c>
    </row>
    <row r="29" spans="4:31" ht="18" customHeight="1">
      <c r="D29" s="394"/>
      <c r="E29" s="52"/>
      <c r="F29" s="52"/>
      <c r="G29" s="52"/>
      <c r="H29" s="52"/>
      <c r="I29" s="52"/>
      <c r="J29" s="52"/>
      <c r="K29" s="52"/>
      <c r="L29" s="396"/>
      <c r="M29" s="396"/>
      <c r="N29" s="405"/>
      <c r="Q29" s="52"/>
      <c r="R29" s="52"/>
      <c r="S29" s="404"/>
      <c r="T29" s="404"/>
      <c r="X29" s="238" t="s">
        <v>2237</v>
      </c>
      <c r="Y29" s="5">
        <f>(Z13-AB19)*0.2</f>
        <v>5</v>
      </c>
    </row>
    <row r="30" spans="4:31" ht="18" customHeight="1">
      <c r="D30" s="400" t="s">
        <v>1991</v>
      </c>
      <c r="E30" s="401"/>
      <c r="F30" s="401"/>
      <c r="G30" s="401"/>
      <c r="H30" s="401"/>
      <c r="I30" s="401"/>
      <c r="J30" s="401"/>
      <c r="K30" s="401"/>
      <c r="L30" s="794"/>
      <c r="M30" s="794"/>
      <c r="N30" s="402"/>
      <c r="Q30" s="52"/>
      <c r="R30" s="52"/>
      <c r="S30" s="52"/>
      <c r="T30" s="52"/>
      <c r="X30" s="5" t="s">
        <v>2208</v>
      </c>
      <c r="Z30" s="5">
        <f>Y29</f>
        <v>5</v>
      </c>
    </row>
    <row r="31" spans="4:31" ht="18" customHeight="1">
      <c r="D31" s="14" t="s">
        <v>68</v>
      </c>
      <c r="E31" s="52"/>
      <c r="F31" s="52"/>
      <c r="G31" s="52"/>
      <c r="H31" s="52"/>
      <c r="I31" s="52"/>
      <c r="J31" s="52"/>
      <c r="K31" s="52">
        <v>-131288210</v>
      </c>
      <c r="L31" s="396"/>
      <c r="M31" s="396">
        <v>0</v>
      </c>
      <c r="N31" s="53">
        <f>-N32</f>
        <v>0</v>
      </c>
      <c r="O31" s="5" t="s">
        <v>1986</v>
      </c>
      <c r="Q31" s="14" t="s">
        <v>68</v>
      </c>
      <c r="R31" s="52" t="s">
        <v>1989</v>
      </c>
      <c r="S31" s="52"/>
      <c r="T31" s="52"/>
    </row>
    <row r="32" spans="4:31" ht="18" customHeight="1">
      <c r="D32" s="14">
        <v>220000</v>
      </c>
      <c r="E32" s="52"/>
      <c r="F32" s="52"/>
      <c r="G32" s="52"/>
      <c r="H32" s="52"/>
      <c r="I32" s="52"/>
      <c r="J32" s="52"/>
      <c r="K32" s="52">
        <v>-837945</v>
      </c>
      <c r="L32" s="396"/>
      <c r="M32" s="396">
        <v>0</v>
      </c>
      <c r="N32" s="53">
        <f>+T_BS!J198</f>
        <v>0</v>
      </c>
      <c r="O32" s="5" t="s">
        <v>1987</v>
      </c>
      <c r="Q32" s="14">
        <v>220000</v>
      </c>
      <c r="R32" s="52" t="s">
        <v>1990</v>
      </c>
      <c r="S32" s="52"/>
      <c r="T32" s="52"/>
      <c r="X32" s="238" t="s">
        <v>2237</v>
      </c>
      <c r="Y32" s="5">
        <f>Z28</f>
        <v>100</v>
      </c>
    </row>
    <row r="33" spans="4:26" ht="18" customHeight="1">
      <c r="D33" s="14">
        <v>219000</v>
      </c>
      <c r="E33" s="52"/>
      <c r="F33" s="52"/>
      <c r="G33" s="52"/>
      <c r="H33" s="52"/>
      <c r="I33" s="52"/>
      <c r="J33" s="52"/>
      <c r="K33" s="52">
        <v>132126155</v>
      </c>
      <c r="L33" s="396"/>
      <c r="M33" s="396"/>
      <c r="N33" s="53"/>
      <c r="O33" s="5" t="s">
        <v>1988</v>
      </c>
      <c r="Q33" s="14">
        <v>219000</v>
      </c>
      <c r="R33" s="5" t="s">
        <v>1988</v>
      </c>
      <c r="S33" s="52"/>
      <c r="T33" s="52"/>
      <c r="X33" s="5" t="s">
        <v>2211</v>
      </c>
      <c r="Z33" s="5">
        <f>Y32</f>
        <v>100</v>
      </c>
    </row>
    <row r="34" spans="4:26" ht="18" customHeight="1">
      <c r="D34" s="54"/>
      <c r="E34" s="52"/>
      <c r="F34" s="52"/>
      <c r="G34" s="52"/>
      <c r="H34" s="52"/>
      <c r="I34" s="52"/>
      <c r="J34" s="52"/>
      <c r="K34" s="52"/>
      <c r="L34" s="396"/>
      <c r="M34" s="396"/>
      <c r="N34" s="53"/>
      <c r="Q34" s="52"/>
      <c r="R34" s="52"/>
      <c r="S34" s="52"/>
      <c r="T34" s="52"/>
    </row>
    <row r="35" spans="4:26" ht="18" customHeight="1">
      <c r="D35" s="14">
        <v>112900</v>
      </c>
      <c r="E35" s="6" t="s">
        <v>67</v>
      </c>
      <c r="F35" s="52"/>
      <c r="G35" s="52"/>
      <c r="H35" s="52"/>
      <c r="I35" s="52"/>
      <c r="J35" s="52"/>
      <c r="K35" s="52"/>
      <c r="L35" s="396"/>
      <c r="M35" s="396">
        <v>-88020205</v>
      </c>
      <c r="N35" s="839"/>
      <c r="O35" s="5" t="s">
        <v>2214</v>
      </c>
      <c r="Q35" s="14">
        <v>112900</v>
      </c>
      <c r="R35" s="6" t="s">
        <v>67</v>
      </c>
      <c r="S35" s="404">
        <f>IF(N35&gt;0,N35,0)</f>
        <v>0</v>
      </c>
      <c r="T35" s="404">
        <f>IF(N35&lt;0,-N35,0)</f>
        <v>0</v>
      </c>
      <c r="X35" s="238" t="s">
        <v>2237</v>
      </c>
      <c r="Z35" s="5">
        <v>25</v>
      </c>
    </row>
    <row r="36" spans="4:26" ht="18" customHeight="1">
      <c r="D36" s="14">
        <v>219000</v>
      </c>
      <c r="E36" s="6" t="s">
        <v>179</v>
      </c>
      <c r="F36" s="52"/>
      <c r="G36" s="52"/>
      <c r="H36" s="52"/>
      <c r="I36" s="52"/>
      <c r="J36" s="52"/>
      <c r="K36" s="52"/>
      <c r="L36" s="396"/>
      <c r="M36" s="396">
        <v>88020205</v>
      </c>
      <c r="N36" s="839"/>
      <c r="Q36" s="14">
        <v>219000</v>
      </c>
      <c r="R36" s="6" t="s">
        <v>179</v>
      </c>
      <c r="S36" s="404">
        <f>IF(N36&gt;0,N36,0)</f>
        <v>0</v>
      </c>
      <c r="T36" s="404">
        <f>IF(N36&lt;0,-N36,0)</f>
        <v>0</v>
      </c>
      <c r="X36" s="5" t="s">
        <v>2211</v>
      </c>
      <c r="Y36" s="5">
        <f>Z35</f>
        <v>25</v>
      </c>
    </row>
    <row r="37" spans="4:26" ht="18" customHeight="1">
      <c r="D37" s="54"/>
      <c r="E37" s="52"/>
      <c r="F37" s="52"/>
      <c r="G37" s="52"/>
      <c r="H37" s="52"/>
      <c r="I37" s="52"/>
      <c r="J37" s="52"/>
      <c r="K37" s="52"/>
      <c r="L37" s="396"/>
      <c r="M37" s="396"/>
      <c r="N37" s="53"/>
      <c r="Q37" s="52"/>
      <c r="R37" s="52"/>
      <c r="S37" s="52"/>
      <c r="T37" s="52"/>
    </row>
    <row r="38" spans="4:26" ht="18" customHeight="1">
      <c r="D38" s="54"/>
      <c r="E38" s="52"/>
      <c r="F38" s="52"/>
      <c r="G38" s="52"/>
      <c r="H38" s="52"/>
      <c r="I38" s="52"/>
      <c r="J38" s="52"/>
      <c r="K38" s="52"/>
      <c r="L38" s="396"/>
      <c r="M38" s="396"/>
      <c r="N38" s="53"/>
      <c r="Q38" s="52"/>
      <c r="R38" s="52"/>
      <c r="S38" s="52"/>
      <c r="T38" s="52"/>
      <c r="X38" s="5" t="s">
        <v>2209</v>
      </c>
      <c r="Z38" s="5">
        <f>Z13-AB19</f>
        <v>25</v>
      </c>
    </row>
    <row r="39" spans="4:26" ht="18" customHeight="1">
      <c r="D39" s="54"/>
      <c r="E39" s="52"/>
      <c r="F39" s="52"/>
      <c r="G39" s="52"/>
      <c r="H39" s="52"/>
      <c r="I39" s="52"/>
      <c r="J39" s="52"/>
      <c r="K39" s="52"/>
      <c r="L39" s="396"/>
      <c r="M39" s="396"/>
      <c r="N39" s="53"/>
      <c r="Q39" s="52"/>
      <c r="R39" s="52"/>
      <c r="S39" s="52"/>
      <c r="T39" s="52"/>
      <c r="X39" s="5" t="s">
        <v>2208</v>
      </c>
      <c r="Y39" s="5">
        <f>Z38</f>
        <v>25</v>
      </c>
    </row>
    <row r="40" spans="4:26" ht="18" customHeight="1">
      <c r="D40" s="54"/>
      <c r="E40" s="52"/>
      <c r="F40" s="52"/>
      <c r="G40" s="52"/>
      <c r="H40" s="52"/>
      <c r="I40" s="52"/>
      <c r="J40" s="52"/>
      <c r="K40" s="52"/>
      <c r="L40" s="396"/>
      <c r="M40" s="396"/>
      <c r="N40" s="53"/>
      <c r="Q40" s="52"/>
      <c r="R40" s="52"/>
      <c r="S40" s="52"/>
      <c r="T40" s="52"/>
    </row>
    <row r="41" spans="4:26" ht="18" customHeight="1">
      <c r="D41" s="54"/>
      <c r="E41" s="52"/>
      <c r="F41" s="52"/>
      <c r="G41" s="52"/>
      <c r="H41" s="52"/>
      <c r="I41" s="52"/>
      <c r="J41" s="52"/>
      <c r="K41" s="52"/>
      <c r="L41" s="396"/>
      <c r="M41" s="396"/>
      <c r="N41" s="53"/>
      <c r="Q41" s="52"/>
      <c r="R41" s="52"/>
      <c r="S41" s="52"/>
      <c r="T41" s="52"/>
    </row>
    <row r="42" spans="4:26" ht="18" customHeight="1">
      <c r="D42" s="54"/>
      <c r="E42" s="52"/>
      <c r="F42" s="52"/>
      <c r="G42" s="52"/>
      <c r="H42" s="52"/>
      <c r="I42" s="52"/>
      <c r="J42" s="52"/>
      <c r="K42" s="52"/>
      <c r="L42" s="396"/>
      <c r="M42" s="396"/>
      <c r="N42" s="53"/>
      <c r="Q42" s="52"/>
      <c r="R42" s="52"/>
      <c r="S42" s="52"/>
      <c r="T42" s="52"/>
      <c r="X42" s="838" t="s">
        <v>2239</v>
      </c>
      <c r="Z42" s="5">
        <f>Y43</f>
        <v>120</v>
      </c>
    </row>
    <row r="43" spans="4:26" ht="18" customHeight="1">
      <c r="D43" s="54"/>
      <c r="E43" s="52"/>
      <c r="F43" s="52"/>
      <c r="G43" s="52"/>
      <c r="H43" s="52"/>
      <c r="I43" s="52"/>
      <c r="J43" s="52"/>
      <c r="K43" s="52"/>
      <c r="L43" s="396"/>
      <c r="M43" s="396"/>
      <c r="N43" s="53"/>
      <c r="Q43" s="52"/>
      <c r="R43" s="52"/>
      <c r="S43" s="52"/>
      <c r="T43" s="52"/>
      <c r="X43" s="5" t="s">
        <v>2241</v>
      </c>
      <c r="Y43" s="5">
        <f>AB17</f>
        <v>120</v>
      </c>
    </row>
    <row r="44" spans="4:26" ht="18" customHeight="1">
      <c r="D44" s="54"/>
      <c r="E44" s="52"/>
      <c r="F44" s="52"/>
      <c r="G44" s="52"/>
      <c r="H44" s="52"/>
      <c r="I44" s="52"/>
      <c r="J44" s="52"/>
      <c r="K44" s="52"/>
      <c r="L44" s="396"/>
      <c r="M44" s="396"/>
      <c r="N44" s="53"/>
      <c r="Q44" s="52"/>
      <c r="R44" s="52"/>
      <c r="S44" s="52"/>
      <c r="T44" s="52"/>
    </row>
    <row r="45" spans="4:26" ht="18" customHeight="1">
      <c r="D45" s="54"/>
      <c r="E45" s="52"/>
      <c r="F45" s="52"/>
      <c r="G45" s="52"/>
      <c r="H45" s="52"/>
      <c r="I45" s="52"/>
      <c r="J45" s="52"/>
      <c r="K45" s="52"/>
      <c r="L45" s="396"/>
      <c r="M45" s="396"/>
      <c r="N45" s="53"/>
      <c r="Q45" s="52"/>
      <c r="R45" s="52"/>
      <c r="S45" s="52"/>
      <c r="T45" s="52"/>
    </row>
    <row r="46" spans="4:26" ht="18" customHeight="1">
      <c r="D46" s="54"/>
      <c r="E46" s="52"/>
      <c r="F46" s="52"/>
      <c r="G46" s="52"/>
      <c r="H46" s="52"/>
      <c r="I46" s="52"/>
      <c r="J46" s="52"/>
      <c r="K46" s="52"/>
      <c r="L46" s="396"/>
      <c r="M46" s="396"/>
      <c r="N46" s="53"/>
      <c r="Q46" s="52"/>
      <c r="R46" s="52"/>
      <c r="S46" s="52"/>
      <c r="T46" s="52"/>
    </row>
    <row r="47" spans="4:26" ht="18" customHeight="1">
      <c r="D47" s="54"/>
      <c r="E47" s="52"/>
      <c r="F47" s="52"/>
      <c r="G47" s="52"/>
      <c r="H47" s="52"/>
      <c r="I47" s="52"/>
      <c r="J47" s="52"/>
      <c r="K47" s="52"/>
      <c r="L47" s="396"/>
      <c r="M47" s="396"/>
      <c r="N47" s="53"/>
      <c r="Q47" s="52"/>
      <c r="R47" s="52"/>
      <c r="S47" s="52"/>
      <c r="T47" s="52"/>
    </row>
    <row r="48" spans="4:26" ht="18" customHeight="1">
      <c r="D48" s="54"/>
      <c r="E48" s="52"/>
      <c r="F48" s="52"/>
      <c r="G48" s="52"/>
      <c r="H48" s="52"/>
      <c r="I48" s="52"/>
      <c r="J48" s="52"/>
      <c r="K48" s="52"/>
      <c r="L48" s="396"/>
      <c r="M48" s="396"/>
      <c r="N48" s="53"/>
      <c r="Q48" s="52"/>
      <c r="R48" s="52"/>
      <c r="S48" s="52"/>
      <c r="T48" s="52"/>
    </row>
    <row r="49" spans="4:20" ht="18" customHeight="1">
      <c r="D49" s="54"/>
      <c r="E49" s="52"/>
      <c r="F49" s="52"/>
      <c r="G49" s="52"/>
      <c r="H49" s="52"/>
      <c r="I49" s="52"/>
      <c r="J49" s="52"/>
      <c r="K49" s="52"/>
      <c r="L49" s="396"/>
      <c r="M49" s="396"/>
      <c r="N49" s="53"/>
      <c r="Q49" s="52"/>
      <c r="R49" s="52"/>
      <c r="S49" s="52"/>
      <c r="T49" s="52"/>
    </row>
    <row r="50" spans="4:20" ht="18" customHeight="1">
      <c r="D50" s="54"/>
      <c r="E50" s="52"/>
      <c r="F50" s="52"/>
      <c r="G50" s="52"/>
      <c r="H50" s="52"/>
      <c r="I50" s="52"/>
      <c r="J50" s="52"/>
      <c r="K50" s="52"/>
      <c r="L50" s="396"/>
      <c r="M50" s="396"/>
      <c r="N50" s="53"/>
      <c r="Q50" s="52"/>
      <c r="R50" s="52"/>
      <c r="S50" s="52"/>
      <c r="T50" s="52"/>
    </row>
    <row r="51" spans="4:20" ht="18" customHeight="1" thickBot="1">
      <c r="D51" s="409"/>
      <c r="E51" s="55"/>
      <c r="F51" s="55"/>
      <c r="G51" s="55"/>
      <c r="H51" s="55"/>
      <c r="I51" s="55"/>
      <c r="J51" s="55"/>
      <c r="K51" s="55"/>
      <c r="L51" s="398"/>
      <c r="M51" s="398"/>
      <c r="N51" s="399"/>
      <c r="Q51" s="55"/>
      <c r="R51" s="55"/>
      <c r="S51" s="55"/>
      <c r="T51" s="55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</sheetPr>
  <dimension ref="D3:H116"/>
  <sheetViews>
    <sheetView showGridLines="0" zoomScale="80" zoomScaleNormal="80" workbookViewId="0">
      <pane xSplit="5" ySplit="4" topLeftCell="F14" activePane="bottomRight" state="frozen"/>
      <selection activeCell="J13" sqref="J13"/>
      <selection pane="topRight" activeCell="J13" sqref="J13"/>
      <selection pane="bottomLeft" activeCell="J13" sqref="J13"/>
      <selection pane="bottomRight" activeCell="F24" sqref="F24"/>
    </sheetView>
  </sheetViews>
  <sheetFormatPr defaultColWidth="8.75" defaultRowHeight="18" customHeight="1"/>
  <cols>
    <col min="1" max="3" width="2.375" style="5" customWidth="1"/>
    <col min="4" max="8" width="17.375" style="5" customWidth="1"/>
    <col min="9" max="9" width="18.875" style="5" customWidth="1"/>
    <col min="10" max="16384" width="8.75" style="5"/>
  </cols>
  <sheetData>
    <row r="3" spans="4:8" s="4" customFormat="1" ht="18" customHeight="1" thickBot="1">
      <c r="D3" s="4" t="s">
        <v>529</v>
      </c>
      <c r="G3" s="220"/>
      <c r="H3" s="220"/>
    </row>
    <row r="4" spans="4:8" ht="38.450000000000003" customHeight="1">
      <c r="D4" s="673" t="s">
        <v>16</v>
      </c>
      <c r="E4" s="442" t="s">
        <v>19</v>
      </c>
      <c r="F4" s="442" t="s">
        <v>15</v>
      </c>
      <c r="G4" s="442" t="s">
        <v>217</v>
      </c>
      <c r="H4" s="443" t="str">
        <f>T_BS!J6</f>
        <v>S.M. Life Design Company Japan Inc.</v>
      </c>
    </row>
    <row r="5" spans="4:8" ht="18" customHeight="1">
      <c r="D5" s="684"/>
      <c r="E5" s="643" t="s">
        <v>14</v>
      </c>
      <c r="F5" s="643">
        <f>SUM(F6,F26)</f>
        <v>96598050530</v>
      </c>
      <c r="G5" s="643">
        <f>SUM(G6,G26)</f>
        <v>-245646986</v>
      </c>
      <c r="H5" s="644">
        <f>SUM(H6,H26)</f>
        <v>3391663241</v>
      </c>
    </row>
    <row r="6" spans="4:8" ht="18" customHeight="1">
      <c r="D6" s="685"/>
      <c r="E6" s="446" t="s">
        <v>11</v>
      </c>
      <c r="F6" s="446">
        <f>SUM(F7,F9,F13,F22)</f>
        <v>96598050530</v>
      </c>
      <c r="G6" s="446">
        <f>SUM(G7,G9,G13,G22)</f>
        <v>-245646986</v>
      </c>
      <c r="H6" s="461">
        <f>SUM(H7,H9,H13,H22)</f>
        <v>3391663241</v>
      </c>
    </row>
    <row r="7" spans="4:8" ht="18" customHeight="1">
      <c r="D7" s="686"/>
      <c r="E7" s="417" t="s">
        <v>10</v>
      </c>
      <c r="F7" s="417">
        <f>F8</f>
        <v>28429923500</v>
      </c>
      <c r="G7" s="417">
        <f>G8</f>
        <v>37013277500</v>
      </c>
      <c r="H7" s="645">
        <f>H8</f>
        <v>511470000</v>
      </c>
    </row>
    <row r="8" spans="4:8" ht="18" customHeight="1">
      <c r="D8" s="687">
        <v>310100</v>
      </c>
      <c r="E8" s="7" t="s">
        <v>190</v>
      </c>
      <c r="F8" s="7">
        <f>T_BS!H222</f>
        <v>28429923500</v>
      </c>
      <c r="G8" s="7">
        <f>T_BS!I222</f>
        <v>37013277500</v>
      </c>
      <c r="H8" s="15">
        <f>T_BS!J222</f>
        <v>511470000</v>
      </c>
    </row>
    <row r="9" spans="4:8" ht="18" customHeight="1">
      <c r="D9" s="686"/>
      <c r="E9" s="417" t="s">
        <v>12</v>
      </c>
      <c r="F9" s="417">
        <f>SUM(F10:F12)</f>
        <v>178678362377</v>
      </c>
      <c r="G9" s="417">
        <f>SUM(G10:G12)</f>
        <v>0</v>
      </c>
      <c r="H9" s="645">
        <f>SUM(H10:H12)</f>
        <v>0</v>
      </c>
    </row>
    <row r="10" spans="4:8" ht="18" customHeight="1">
      <c r="D10" s="687">
        <v>320100</v>
      </c>
      <c r="E10" s="7" t="s">
        <v>191</v>
      </c>
      <c r="F10" s="7">
        <f>T_BS!H224</f>
        <v>177997002186</v>
      </c>
      <c r="G10" s="7">
        <f>T_BS!I224</f>
        <v>0</v>
      </c>
      <c r="H10" s="15">
        <f>T_BS!J224</f>
        <v>0</v>
      </c>
    </row>
    <row r="11" spans="4:8" ht="18" customHeight="1">
      <c r="D11" s="687">
        <v>320500</v>
      </c>
      <c r="E11" s="7" t="s">
        <v>192</v>
      </c>
      <c r="F11" s="7">
        <f>T_BS!H225</f>
        <v>0</v>
      </c>
      <c r="G11" s="7">
        <f>T_BS!I225</f>
        <v>0</v>
      </c>
      <c r="H11" s="15">
        <f>T_BS!J225</f>
        <v>0</v>
      </c>
    </row>
    <row r="12" spans="4:8" ht="18" customHeight="1">
      <c r="D12" s="687">
        <v>320300</v>
      </c>
      <c r="E12" s="7" t="s">
        <v>193</v>
      </c>
      <c r="F12" s="7">
        <f>T_BS!H226</f>
        <v>681360191</v>
      </c>
      <c r="G12" s="7">
        <f>T_BS!I226</f>
        <v>0</v>
      </c>
      <c r="H12" s="15">
        <f>T_BS!J226</f>
        <v>0</v>
      </c>
    </row>
    <row r="13" spans="4:8" ht="18" customHeight="1">
      <c r="D13" s="686"/>
      <c r="E13" s="417" t="s">
        <v>194</v>
      </c>
      <c r="F13" s="417">
        <f>SUM(F14:F21)</f>
        <v>-7717608103</v>
      </c>
      <c r="G13" s="417">
        <f>SUM(G14:G21)</f>
        <v>1010392673</v>
      </c>
      <c r="H13" s="645">
        <f>SUM(H14:H21)</f>
        <v>-745337715</v>
      </c>
    </row>
    <row r="14" spans="4:8" ht="18" customHeight="1">
      <c r="D14" s="687">
        <v>350300</v>
      </c>
      <c r="E14" s="7" t="s">
        <v>195</v>
      </c>
      <c r="F14" s="7">
        <f>T_BS!H228</f>
        <v>-4240000</v>
      </c>
      <c r="G14" s="7">
        <f>T_BS!I228</f>
        <v>0</v>
      </c>
      <c r="H14" s="15">
        <f>T_BS!J228</f>
        <v>0</v>
      </c>
    </row>
    <row r="15" spans="4:8" ht="18" customHeight="1">
      <c r="D15" s="687">
        <v>350350</v>
      </c>
      <c r="E15" s="7" t="s">
        <v>196</v>
      </c>
      <c r="F15" s="7">
        <f>T_BS!H229</f>
        <v>-1292039719</v>
      </c>
      <c r="G15" s="7">
        <f>T_BS!I229</f>
        <v>0</v>
      </c>
      <c r="H15" s="15">
        <f>T_BS!J229</f>
        <v>0</v>
      </c>
    </row>
    <row r="16" spans="4:8" ht="18" customHeight="1">
      <c r="D16" s="687" t="s">
        <v>226</v>
      </c>
      <c r="E16" s="7" t="s">
        <v>225</v>
      </c>
      <c r="F16" s="7">
        <f>T_BS!H230</f>
        <v>0</v>
      </c>
      <c r="G16" s="7">
        <f>T_BS!I230</f>
        <v>0</v>
      </c>
      <c r="H16" s="15">
        <f>T_BS!J230</f>
        <v>0</v>
      </c>
    </row>
    <row r="17" spans="4:8" ht="18" customHeight="1">
      <c r="D17" s="687">
        <v>350400</v>
      </c>
      <c r="E17" s="7" t="s">
        <v>197</v>
      </c>
      <c r="F17" s="7">
        <f>T_BS!H231</f>
        <v>1298943576</v>
      </c>
      <c r="G17" s="7">
        <f>T_BS!I231</f>
        <v>0</v>
      </c>
      <c r="H17" s="15">
        <f>T_BS!J231</f>
        <v>0</v>
      </c>
    </row>
    <row r="18" spans="4:8" ht="18" customHeight="1">
      <c r="D18" s="687">
        <v>350210</v>
      </c>
      <c r="E18" s="7" t="s">
        <v>198</v>
      </c>
      <c r="F18" s="7">
        <f>T_BS!H232</f>
        <v>-7720271960</v>
      </c>
      <c r="G18" s="7">
        <f>T_BS!I232</f>
        <v>0</v>
      </c>
      <c r="H18" s="15">
        <f>T_BS!J232</f>
        <v>-778091133</v>
      </c>
    </row>
    <row r="19" spans="4:8" ht="18" customHeight="1">
      <c r="D19" s="687" t="s">
        <v>199</v>
      </c>
      <c r="E19" s="7" t="s">
        <v>200</v>
      </c>
      <c r="F19" s="7">
        <f>T_BS!H233</f>
        <v>0</v>
      </c>
      <c r="G19" s="7">
        <f>T_BS!I233</f>
        <v>0</v>
      </c>
      <c r="H19" s="15">
        <f>T_BS!J233</f>
        <v>0</v>
      </c>
    </row>
    <row r="20" spans="4:8" ht="18" customHeight="1">
      <c r="D20" s="687" t="s">
        <v>201</v>
      </c>
      <c r="E20" s="7" t="s">
        <v>202</v>
      </c>
      <c r="F20" s="7">
        <f>T_BS!H234</f>
        <v>0</v>
      </c>
      <c r="G20" s="7">
        <f>T_BS!I234</f>
        <v>0</v>
      </c>
      <c r="H20" s="15">
        <f>T_BS!J234</f>
        <v>0</v>
      </c>
    </row>
    <row r="21" spans="4:8" ht="18" customHeight="1">
      <c r="D21" s="687" t="s">
        <v>203</v>
      </c>
      <c r="E21" s="7" t="s">
        <v>204</v>
      </c>
      <c r="F21" s="7">
        <f>T_BS!H235</f>
        <v>0</v>
      </c>
      <c r="G21" s="7">
        <f>T_BS!I235</f>
        <v>1010392673</v>
      </c>
      <c r="H21" s="15">
        <f>T_BS!J235</f>
        <v>32753418</v>
      </c>
    </row>
    <row r="22" spans="4:8" ht="18" customHeight="1">
      <c r="D22" s="686"/>
      <c r="E22" s="417" t="s">
        <v>13</v>
      </c>
      <c r="F22" s="417">
        <f>SUM(F23:F25)</f>
        <v>-102792627244</v>
      </c>
      <c r="G22" s="417">
        <f>SUM(G23:G25)</f>
        <v>-38269317159</v>
      </c>
      <c r="H22" s="645">
        <f>SUM(H23:H25)</f>
        <v>3625530956</v>
      </c>
    </row>
    <row r="23" spans="4:8" ht="18" customHeight="1">
      <c r="D23" s="687">
        <v>350951</v>
      </c>
      <c r="E23" s="7" t="s">
        <v>205</v>
      </c>
      <c r="F23" s="7">
        <f>T_BS!H238</f>
        <v>-901535168</v>
      </c>
      <c r="G23" s="7">
        <f>T_BS!I238</f>
        <v>0</v>
      </c>
      <c r="H23" s="15">
        <f>T_BS!J238</f>
        <v>0</v>
      </c>
    </row>
    <row r="24" spans="4:8" ht="18" customHeight="1">
      <c r="D24" s="687" t="s">
        <v>206</v>
      </c>
      <c r="E24" s="7" t="s">
        <v>207</v>
      </c>
      <c r="F24" s="7">
        <f>T_BS!H239</f>
        <v>-83342669546</v>
      </c>
      <c r="G24" s="7">
        <f>T_BS!I239</f>
        <v>-36277765348</v>
      </c>
      <c r="H24" s="15">
        <f>T_BS!J239</f>
        <v>4563084657</v>
      </c>
    </row>
    <row r="25" spans="4:8" ht="18" customHeight="1">
      <c r="D25" s="687" t="s">
        <v>208</v>
      </c>
      <c r="E25" s="7" t="s">
        <v>209</v>
      </c>
      <c r="F25" s="7">
        <f>T_BS!H240</f>
        <v>-18548422530</v>
      </c>
      <c r="G25" s="7">
        <f>T_BS!I240</f>
        <v>-1991551811</v>
      </c>
      <c r="H25" s="15">
        <f>T_BS!J240</f>
        <v>-937553701</v>
      </c>
    </row>
    <row r="26" spans="4:8" ht="18" customHeight="1">
      <c r="D26" s="685"/>
      <c r="E26" s="446" t="s">
        <v>210</v>
      </c>
      <c r="F26" s="446">
        <f>F27</f>
        <v>0</v>
      </c>
      <c r="G26" s="446">
        <f>G27</f>
        <v>0</v>
      </c>
      <c r="H26" s="461">
        <f>H27</f>
        <v>0</v>
      </c>
    </row>
    <row r="27" spans="4:8" ht="18" customHeight="1" thickBot="1">
      <c r="D27" s="688" t="s">
        <v>493</v>
      </c>
      <c r="E27" s="361" t="s">
        <v>210</v>
      </c>
      <c r="F27" s="16">
        <f>T_BS!H242</f>
        <v>0</v>
      </c>
      <c r="G27" s="16">
        <f>T_BS!I242</f>
        <v>0</v>
      </c>
      <c r="H27" s="17">
        <f>T_BS!J242</f>
        <v>0</v>
      </c>
    </row>
    <row r="28" spans="4:8" s="4" customFormat="1" ht="18" customHeight="1">
      <c r="F28" s="4" t="b">
        <f>F5=T_BS!H219</f>
        <v>1</v>
      </c>
      <c r="G28" s="4" t="b">
        <f>G5=T_BS!I219</f>
        <v>1</v>
      </c>
      <c r="H28" s="4" t="b">
        <f>H5=T_BS!J219</f>
        <v>1</v>
      </c>
    </row>
    <row r="30" spans="4:8" ht="18" customHeight="1" thickBot="1">
      <c r="D30" s="5" t="s">
        <v>530</v>
      </c>
    </row>
    <row r="31" spans="4:8" ht="33" customHeight="1">
      <c r="D31" s="673" t="s">
        <v>16</v>
      </c>
      <c r="E31" s="442" t="s">
        <v>19</v>
      </c>
      <c r="F31" s="442" t="s">
        <v>15</v>
      </c>
      <c r="G31" s="442" t="s">
        <v>217</v>
      </c>
      <c r="H31" s="443" t="s">
        <v>215</v>
      </c>
    </row>
    <row r="32" spans="4:8" ht="18" customHeight="1">
      <c r="D32" s="684"/>
      <c r="E32" s="643" t="s">
        <v>14</v>
      </c>
      <c r="F32" s="643">
        <v>114560798939</v>
      </c>
      <c r="G32" s="643">
        <v>1502323625</v>
      </c>
      <c r="H32" s="644">
        <v>4323552557</v>
      </c>
    </row>
    <row r="33" spans="4:8" ht="18" customHeight="1">
      <c r="D33" s="685"/>
      <c r="E33" s="446" t="s">
        <v>11</v>
      </c>
      <c r="F33" s="446">
        <v>114560798939</v>
      </c>
      <c r="G33" s="446">
        <v>1502323625</v>
      </c>
      <c r="H33" s="461">
        <v>4323552557</v>
      </c>
    </row>
    <row r="34" spans="4:8" ht="18" customHeight="1">
      <c r="D34" s="686"/>
      <c r="E34" s="417" t="s">
        <v>10</v>
      </c>
      <c r="F34" s="417">
        <v>28429923500</v>
      </c>
      <c r="G34" s="417">
        <v>37013277500</v>
      </c>
      <c r="H34" s="645">
        <v>511470000</v>
      </c>
    </row>
    <row r="35" spans="4:8" ht="18" customHeight="1">
      <c r="D35" s="687">
        <v>310100</v>
      </c>
      <c r="E35" s="7" t="s">
        <v>190</v>
      </c>
      <c r="F35" s="7">
        <v>28429923500</v>
      </c>
      <c r="G35" s="7">
        <v>37013277500</v>
      </c>
      <c r="H35" s="15">
        <v>511470000</v>
      </c>
    </row>
    <row r="36" spans="4:8" ht="18" customHeight="1">
      <c r="D36" s="686"/>
      <c r="E36" s="417" t="s">
        <v>12</v>
      </c>
      <c r="F36" s="417">
        <v>178678362377</v>
      </c>
      <c r="G36" s="417">
        <v>0</v>
      </c>
      <c r="H36" s="645">
        <v>0</v>
      </c>
    </row>
    <row r="37" spans="4:8" ht="18" customHeight="1">
      <c r="D37" s="687">
        <v>320100</v>
      </c>
      <c r="E37" s="7" t="s">
        <v>191</v>
      </c>
      <c r="F37" s="7">
        <v>177997002186</v>
      </c>
      <c r="G37" s="7">
        <v>0</v>
      </c>
      <c r="H37" s="15">
        <v>0</v>
      </c>
    </row>
    <row r="38" spans="4:8" ht="18" customHeight="1">
      <c r="D38" s="687">
        <v>320500</v>
      </c>
      <c r="E38" s="7" t="s">
        <v>192</v>
      </c>
      <c r="F38" s="7">
        <v>0</v>
      </c>
      <c r="G38" s="7">
        <v>0</v>
      </c>
      <c r="H38" s="15">
        <v>0</v>
      </c>
    </row>
    <row r="39" spans="4:8" ht="18" customHeight="1">
      <c r="D39" s="687">
        <v>320300</v>
      </c>
      <c r="E39" s="7" t="s">
        <v>193</v>
      </c>
      <c r="F39" s="7">
        <v>681360191</v>
      </c>
      <c r="G39" s="7">
        <v>0</v>
      </c>
      <c r="H39" s="15">
        <v>0</v>
      </c>
    </row>
    <row r="40" spans="4:8" ht="18" customHeight="1">
      <c r="D40" s="686"/>
      <c r="E40" s="417" t="s">
        <v>194</v>
      </c>
      <c r="F40" s="417">
        <v>-8341868290</v>
      </c>
      <c r="G40" s="417">
        <v>766811473</v>
      </c>
      <c r="H40" s="645">
        <v>-751002100</v>
      </c>
    </row>
    <row r="41" spans="4:8" ht="18" customHeight="1">
      <c r="D41" s="687">
        <v>350300</v>
      </c>
      <c r="E41" s="7" t="s">
        <v>195</v>
      </c>
      <c r="F41" s="7">
        <v>-4240000</v>
      </c>
      <c r="G41" s="7">
        <v>0</v>
      </c>
      <c r="H41" s="15">
        <v>0</v>
      </c>
    </row>
    <row r="42" spans="4:8" ht="18" customHeight="1">
      <c r="D42" s="687">
        <v>350350</v>
      </c>
      <c r="E42" s="7" t="s">
        <v>196</v>
      </c>
      <c r="F42" s="7">
        <v>-1292039719</v>
      </c>
      <c r="G42" s="7">
        <v>0</v>
      </c>
      <c r="H42" s="15">
        <v>0</v>
      </c>
    </row>
    <row r="43" spans="4:8" ht="18" customHeight="1">
      <c r="D43" s="687" t="s">
        <v>226</v>
      </c>
      <c r="E43" s="7" t="s">
        <v>225</v>
      </c>
      <c r="F43" s="7">
        <v>0</v>
      </c>
      <c r="G43" s="7">
        <v>0</v>
      </c>
      <c r="H43" s="15">
        <v>0</v>
      </c>
    </row>
    <row r="44" spans="4:8" ht="18" customHeight="1">
      <c r="D44" s="687">
        <v>350400</v>
      </c>
      <c r="E44" s="7" t="s">
        <v>197</v>
      </c>
      <c r="F44" s="7">
        <v>674683389</v>
      </c>
      <c r="G44" s="7">
        <v>0</v>
      </c>
      <c r="H44" s="15">
        <v>0</v>
      </c>
    </row>
    <row r="45" spans="4:8" ht="18" customHeight="1">
      <c r="D45" s="687">
        <v>350210</v>
      </c>
      <c r="E45" s="7" t="s">
        <v>198</v>
      </c>
      <c r="F45" s="7">
        <v>-7720271960</v>
      </c>
      <c r="G45" s="7">
        <v>0</v>
      </c>
      <c r="H45" s="15">
        <v>-778091133</v>
      </c>
    </row>
    <row r="46" spans="4:8" ht="18" customHeight="1">
      <c r="D46" s="687" t="s">
        <v>199</v>
      </c>
      <c r="E46" s="7" t="s">
        <v>200</v>
      </c>
      <c r="F46" s="7">
        <v>0</v>
      </c>
      <c r="G46" s="7">
        <v>0</v>
      </c>
      <c r="H46" s="15">
        <v>0</v>
      </c>
    </row>
    <row r="47" spans="4:8" ht="18" customHeight="1">
      <c r="D47" s="687" t="s">
        <v>201</v>
      </c>
      <c r="E47" s="7" t="s">
        <v>202</v>
      </c>
      <c r="F47" s="7">
        <v>0</v>
      </c>
      <c r="G47" s="7">
        <v>0</v>
      </c>
      <c r="H47" s="15">
        <v>0</v>
      </c>
    </row>
    <row r="48" spans="4:8" ht="18" customHeight="1">
      <c r="D48" s="687" t="s">
        <v>203</v>
      </c>
      <c r="E48" s="7" t="s">
        <v>204</v>
      </c>
      <c r="F48" s="7">
        <v>0</v>
      </c>
      <c r="G48" s="7">
        <v>766811473</v>
      </c>
      <c r="H48" s="15">
        <v>27089033</v>
      </c>
    </row>
    <row r="49" spans="4:8" ht="18" customHeight="1">
      <c r="D49" s="686"/>
      <c r="E49" s="417" t="s">
        <v>13</v>
      </c>
      <c r="F49" s="417">
        <v>-84205618648</v>
      </c>
      <c r="G49" s="417">
        <v>-36277765348</v>
      </c>
      <c r="H49" s="645">
        <v>4563084657</v>
      </c>
    </row>
    <row r="50" spans="4:8" ht="18" customHeight="1">
      <c r="D50" s="687">
        <v>350951</v>
      </c>
      <c r="E50" s="7" t="s">
        <v>205</v>
      </c>
      <c r="F50" s="7">
        <v>-862949102</v>
      </c>
      <c r="G50" s="7">
        <v>0</v>
      </c>
      <c r="H50" s="15">
        <v>0</v>
      </c>
    </row>
    <row r="51" spans="4:8" ht="18" customHeight="1">
      <c r="D51" s="687" t="s">
        <v>206</v>
      </c>
      <c r="E51" s="7" t="s">
        <v>207</v>
      </c>
      <c r="F51" s="7">
        <v>-34761513470</v>
      </c>
      <c r="G51" s="7">
        <v>-36022060065</v>
      </c>
      <c r="H51" s="15">
        <v>4047014238</v>
      </c>
    </row>
    <row r="52" spans="4:8" ht="18" customHeight="1">
      <c r="D52" s="687" t="s">
        <v>208</v>
      </c>
      <c r="E52" s="7" t="s">
        <v>209</v>
      </c>
      <c r="F52" s="7">
        <v>-48581156076</v>
      </c>
      <c r="G52" s="7">
        <v>-255705283</v>
      </c>
      <c r="H52" s="15">
        <v>516070419</v>
      </c>
    </row>
    <row r="53" spans="4:8" ht="18" customHeight="1">
      <c r="D53" s="685"/>
      <c r="E53" s="446" t="s">
        <v>210</v>
      </c>
      <c r="F53" s="446">
        <v>0</v>
      </c>
      <c r="G53" s="446">
        <v>0</v>
      </c>
      <c r="H53" s="461">
        <v>0</v>
      </c>
    </row>
    <row r="54" spans="4:8" ht="18" customHeight="1" thickBot="1">
      <c r="D54" s="688" t="s">
        <v>493</v>
      </c>
      <c r="E54" s="361" t="s">
        <v>210</v>
      </c>
      <c r="F54" s="16">
        <v>0</v>
      </c>
      <c r="G54" s="16">
        <v>0</v>
      </c>
      <c r="H54" s="17">
        <v>0</v>
      </c>
    </row>
    <row r="56" spans="4:8" s="8" customFormat="1" ht="18" customHeight="1" thickBot="1">
      <c r="D56" s="376" t="s">
        <v>532</v>
      </c>
    </row>
    <row r="57" spans="4:8" ht="36.6" customHeight="1">
      <c r="D57" s="673" t="s">
        <v>16</v>
      </c>
      <c r="E57" s="442" t="s">
        <v>19</v>
      </c>
      <c r="F57" s="442" t="s">
        <v>15</v>
      </c>
      <c r="G57" s="442" t="s">
        <v>217</v>
      </c>
      <c r="H57" s="443" t="s">
        <v>215</v>
      </c>
    </row>
    <row r="58" spans="4:8" ht="18" customHeight="1">
      <c r="D58" s="684"/>
      <c r="E58" s="643" t="s">
        <v>14</v>
      </c>
      <c r="F58" s="643">
        <f>SUM(F59,F79)</f>
        <v>-17962748409</v>
      </c>
      <c r="G58" s="643">
        <f>SUM(G59,G79)</f>
        <v>-1747970611</v>
      </c>
      <c r="H58" s="644">
        <f>SUM(H59,H79)</f>
        <v>-931889316</v>
      </c>
    </row>
    <row r="59" spans="4:8" ht="18" customHeight="1">
      <c r="D59" s="685"/>
      <c r="E59" s="446" t="s">
        <v>11</v>
      </c>
      <c r="F59" s="446">
        <f>SUM(F60,F62,F66,F75)</f>
        <v>-17962748409</v>
      </c>
      <c r="G59" s="446">
        <f>SUM(G60,G62,G66,G75)</f>
        <v>-1747970611</v>
      </c>
      <c r="H59" s="461">
        <f>SUM(H60,H62,H66,H75)</f>
        <v>-931889316</v>
      </c>
    </row>
    <row r="60" spans="4:8" ht="18" customHeight="1">
      <c r="D60" s="686"/>
      <c r="E60" s="417" t="s">
        <v>10</v>
      </c>
      <c r="F60" s="417">
        <f>F61</f>
        <v>0</v>
      </c>
      <c r="G60" s="417">
        <f>G61</f>
        <v>0</v>
      </c>
      <c r="H60" s="645">
        <f>H61</f>
        <v>0</v>
      </c>
    </row>
    <row r="61" spans="4:8" ht="18" customHeight="1">
      <c r="D61" s="687">
        <v>310100</v>
      </c>
      <c r="E61" s="7" t="s">
        <v>190</v>
      </c>
      <c r="F61" s="7">
        <f>F8-F35</f>
        <v>0</v>
      </c>
      <c r="G61" s="7">
        <f>G8-G35</f>
        <v>0</v>
      </c>
      <c r="H61" s="15">
        <f>H8-H35</f>
        <v>0</v>
      </c>
    </row>
    <row r="62" spans="4:8" ht="18" customHeight="1">
      <c r="D62" s="686"/>
      <c r="E62" s="417" t="s">
        <v>12</v>
      </c>
      <c r="F62" s="417">
        <f>SUM(F63:F65)</f>
        <v>0</v>
      </c>
      <c r="G62" s="417">
        <f>SUM(G63:G65)</f>
        <v>0</v>
      </c>
      <c r="H62" s="645">
        <f>SUM(H63:H65)</f>
        <v>0</v>
      </c>
    </row>
    <row r="63" spans="4:8" ht="18" customHeight="1">
      <c r="D63" s="687">
        <v>320100</v>
      </c>
      <c r="E63" s="7" t="s">
        <v>191</v>
      </c>
      <c r="F63" s="7">
        <f t="shared" ref="F63:H65" si="0">F10-F37</f>
        <v>0</v>
      </c>
      <c r="G63" s="7">
        <f t="shared" si="0"/>
        <v>0</v>
      </c>
      <c r="H63" s="15">
        <f t="shared" si="0"/>
        <v>0</v>
      </c>
    </row>
    <row r="64" spans="4:8" ht="18" customHeight="1">
      <c r="D64" s="687">
        <v>320500</v>
      </c>
      <c r="E64" s="7" t="s">
        <v>192</v>
      </c>
      <c r="F64" s="7">
        <f t="shared" si="0"/>
        <v>0</v>
      </c>
      <c r="G64" s="7">
        <f t="shared" si="0"/>
        <v>0</v>
      </c>
      <c r="H64" s="15">
        <f t="shared" si="0"/>
        <v>0</v>
      </c>
    </row>
    <row r="65" spans="4:8" ht="18" customHeight="1">
      <c r="D65" s="687">
        <v>320300</v>
      </c>
      <c r="E65" s="7" t="s">
        <v>193</v>
      </c>
      <c r="F65" s="7">
        <f t="shared" si="0"/>
        <v>0</v>
      </c>
      <c r="G65" s="7">
        <f t="shared" si="0"/>
        <v>0</v>
      </c>
      <c r="H65" s="15">
        <f t="shared" si="0"/>
        <v>0</v>
      </c>
    </row>
    <row r="66" spans="4:8" ht="18" customHeight="1">
      <c r="D66" s="686"/>
      <c r="E66" s="417" t="s">
        <v>194</v>
      </c>
      <c r="F66" s="417">
        <f>SUM(F67:F74)</f>
        <v>624260187</v>
      </c>
      <c r="G66" s="417">
        <f>SUM(G67:G74)</f>
        <v>243581200</v>
      </c>
      <c r="H66" s="645">
        <f>SUM(H67:H74)</f>
        <v>5664385</v>
      </c>
    </row>
    <row r="67" spans="4:8" ht="18" customHeight="1">
      <c r="D67" s="687">
        <v>350300</v>
      </c>
      <c r="E67" s="7" t="s">
        <v>195</v>
      </c>
      <c r="F67" s="7">
        <f t="shared" ref="F67:H74" si="1">F14-F41</f>
        <v>0</v>
      </c>
      <c r="G67" s="7">
        <f t="shared" si="1"/>
        <v>0</v>
      </c>
      <c r="H67" s="15">
        <f t="shared" si="1"/>
        <v>0</v>
      </c>
    </row>
    <row r="68" spans="4:8" ht="18" customHeight="1">
      <c r="D68" s="687">
        <v>350350</v>
      </c>
      <c r="E68" s="7" t="s">
        <v>196</v>
      </c>
      <c r="F68" s="7">
        <f t="shared" si="1"/>
        <v>0</v>
      </c>
      <c r="G68" s="7">
        <f t="shared" si="1"/>
        <v>0</v>
      </c>
      <c r="H68" s="15">
        <f t="shared" si="1"/>
        <v>0</v>
      </c>
    </row>
    <row r="69" spans="4:8" ht="18" customHeight="1">
      <c r="D69" s="687" t="s">
        <v>226</v>
      </c>
      <c r="E69" s="7" t="s">
        <v>225</v>
      </c>
      <c r="F69" s="7">
        <f t="shared" si="1"/>
        <v>0</v>
      </c>
      <c r="G69" s="7">
        <f t="shared" si="1"/>
        <v>0</v>
      </c>
      <c r="H69" s="15">
        <f t="shared" si="1"/>
        <v>0</v>
      </c>
    </row>
    <row r="70" spans="4:8" ht="18" customHeight="1">
      <c r="D70" s="687">
        <v>350400</v>
      </c>
      <c r="E70" s="7" t="s">
        <v>197</v>
      </c>
      <c r="F70" s="7">
        <f t="shared" si="1"/>
        <v>624260187</v>
      </c>
      <c r="G70" s="7">
        <f t="shared" si="1"/>
        <v>0</v>
      </c>
      <c r="H70" s="15">
        <f t="shared" si="1"/>
        <v>0</v>
      </c>
    </row>
    <row r="71" spans="4:8" ht="18" customHeight="1">
      <c r="D71" s="687">
        <v>350210</v>
      </c>
      <c r="E71" s="7" t="s">
        <v>198</v>
      </c>
      <c r="F71" s="7">
        <f t="shared" si="1"/>
        <v>0</v>
      </c>
      <c r="G71" s="7">
        <f t="shared" si="1"/>
        <v>0</v>
      </c>
      <c r="H71" s="15">
        <f t="shared" si="1"/>
        <v>0</v>
      </c>
    </row>
    <row r="72" spans="4:8" ht="18" customHeight="1">
      <c r="D72" s="687" t="s">
        <v>199</v>
      </c>
      <c r="E72" s="7" t="s">
        <v>200</v>
      </c>
      <c r="F72" s="7">
        <f t="shared" si="1"/>
        <v>0</v>
      </c>
      <c r="G72" s="7">
        <f t="shared" si="1"/>
        <v>0</v>
      </c>
      <c r="H72" s="15">
        <f t="shared" si="1"/>
        <v>0</v>
      </c>
    </row>
    <row r="73" spans="4:8" ht="18" customHeight="1">
      <c r="D73" s="687" t="s">
        <v>201</v>
      </c>
      <c r="E73" s="7" t="s">
        <v>202</v>
      </c>
      <c r="F73" s="7">
        <f t="shared" si="1"/>
        <v>0</v>
      </c>
      <c r="G73" s="7">
        <f t="shared" si="1"/>
        <v>0</v>
      </c>
      <c r="H73" s="15">
        <f t="shared" si="1"/>
        <v>0</v>
      </c>
    </row>
    <row r="74" spans="4:8" ht="18" customHeight="1">
      <c r="D74" s="687" t="s">
        <v>203</v>
      </c>
      <c r="E74" s="7" t="s">
        <v>204</v>
      </c>
      <c r="F74" s="7">
        <f t="shared" si="1"/>
        <v>0</v>
      </c>
      <c r="G74" s="7">
        <f t="shared" si="1"/>
        <v>243581200</v>
      </c>
      <c r="H74" s="15">
        <f t="shared" si="1"/>
        <v>5664385</v>
      </c>
    </row>
    <row r="75" spans="4:8" ht="18" customHeight="1">
      <c r="D75" s="686"/>
      <c r="E75" s="417" t="s">
        <v>13</v>
      </c>
      <c r="F75" s="417">
        <f>SUM(F76:F78)</f>
        <v>-18587008596</v>
      </c>
      <c r="G75" s="417">
        <f>SUM(G76:G78)</f>
        <v>-1991551811</v>
      </c>
      <c r="H75" s="645">
        <f>SUM(H76:H78)</f>
        <v>-937553701</v>
      </c>
    </row>
    <row r="76" spans="4:8" ht="18" customHeight="1">
      <c r="D76" s="687">
        <v>350951</v>
      </c>
      <c r="E76" s="7" t="s">
        <v>205</v>
      </c>
      <c r="F76" s="7">
        <f>F23-F50</f>
        <v>-38586066</v>
      </c>
      <c r="G76" s="7">
        <f>G23-G50</f>
        <v>0</v>
      </c>
      <c r="H76" s="15">
        <f>H23-H50</f>
        <v>0</v>
      </c>
    </row>
    <row r="77" spans="4:8" ht="18" customHeight="1">
      <c r="D77" s="687" t="s">
        <v>206</v>
      </c>
      <c r="E77" s="7" t="s">
        <v>207</v>
      </c>
      <c r="F77" s="7">
        <f>F24-F51-F52</f>
        <v>0</v>
      </c>
      <c r="G77" s="7">
        <f>G24-G51-G52</f>
        <v>0</v>
      </c>
      <c r="H77" s="15">
        <f>H24-H51-H52</f>
        <v>0</v>
      </c>
    </row>
    <row r="78" spans="4:8" ht="18" customHeight="1">
      <c r="D78" s="687" t="s">
        <v>208</v>
      </c>
      <c r="E78" s="7" t="s">
        <v>209</v>
      </c>
      <c r="F78" s="7">
        <f>F25</f>
        <v>-18548422530</v>
      </c>
      <c r="G78" s="7">
        <f>G25</f>
        <v>-1991551811</v>
      </c>
      <c r="H78" s="15">
        <f>H25</f>
        <v>-937553701</v>
      </c>
    </row>
    <row r="79" spans="4:8" ht="18" customHeight="1">
      <c r="D79" s="685"/>
      <c r="E79" s="446" t="s">
        <v>210</v>
      </c>
      <c r="F79" s="446">
        <f>F80</f>
        <v>0</v>
      </c>
      <c r="G79" s="446">
        <f>G80</f>
        <v>0</v>
      </c>
      <c r="H79" s="461">
        <f>H80</f>
        <v>0</v>
      </c>
    </row>
    <row r="80" spans="4:8" ht="18" customHeight="1" thickBot="1">
      <c r="D80" s="688" t="s">
        <v>493</v>
      </c>
      <c r="E80" s="361" t="s">
        <v>210</v>
      </c>
      <c r="F80" s="16">
        <f>F27-F54</f>
        <v>0</v>
      </c>
      <c r="G80" s="16">
        <f>G27-G54</f>
        <v>0</v>
      </c>
      <c r="H80" s="17">
        <f>H27-H54</f>
        <v>0</v>
      </c>
    </row>
    <row r="82" spans="4:8" ht="18" customHeight="1">
      <c r="D82" s="4" t="s">
        <v>1658</v>
      </c>
    </row>
    <row r="83" spans="4:8" ht="18" customHeight="1" thickBot="1">
      <c r="D83" s="4"/>
    </row>
    <row r="84" spans="4:8" ht="38.450000000000003" customHeight="1">
      <c r="D84" s="442"/>
      <c r="E84" s="442"/>
      <c r="F84" s="442" t="str">
        <f>F4</f>
        <v>드림어스컴퍼니</v>
      </c>
      <c r="G84" s="442" t="str">
        <f>G4</f>
        <v>Iriver Enterprise Ltd(연결)</v>
      </c>
      <c r="H84" s="442" t="str">
        <f>H4</f>
        <v>S.M. Life Design Company Japan Inc.</v>
      </c>
    </row>
    <row r="85" spans="4:8" s="4" customFormat="1" ht="18" customHeight="1">
      <c r="D85" s="484" t="s">
        <v>10</v>
      </c>
      <c r="E85" s="484"/>
      <c r="F85" s="484"/>
      <c r="G85" s="484"/>
      <c r="H85" s="484"/>
    </row>
    <row r="86" spans="4:8" ht="18" customHeight="1">
      <c r="E86" s="5" t="s">
        <v>533</v>
      </c>
      <c r="F86" s="5">
        <v>0</v>
      </c>
      <c r="G86" s="5">
        <v>0</v>
      </c>
      <c r="H86" s="5">
        <v>0</v>
      </c>
    </row>
    <row r="87" spans="4:8" ht="18" customHeight="1">
      <c r="E87" s="5" t="s">
        <v>1662</v>
      </c>
      <c r="F87" s="5">
        <f>F61</f>
        <v>0</v>
      </c>
      <c r="G87" s="5">
        <v>0</v>
      </c>
      <c r="H87" s="5">
        <v>0</v>
      </c>
    </row>
    <row r="88" spans="4:8" ht="18" customHeight="1">
      <c r="E88" s="5" t="s">
        <v>1799</v>
      </c>
      <c r="F88" s="5">
        <v>0</v>
      </c>
      <c r="G88" s="5">
        <v>0</v>
      </c>
      <c r="H88" s="5">
        <v>0</v>
      </c>
    </row>
    <row r="89" spans="4:8" ht="18" customHeight="1" thickBot="1">
      <c r="D89" s="362"/>
      <c r="E89" s="362"/>
      <c r="F89" s="362">
        <f>SUM(F86:F88)</f>
        <v>0</v>
      </c>
      <c r="G89" s="362">
        <f>SUM(G86:G88)</f>
        <v>0</v>
      </c>
      <c r="H89" s="362">
        <f>SUM(H86:H88)</f>
        <v>0</v>
      </c>
    </row>
    <row r="90" spans="4:8" ht="18" customHeight="1" thickTop="1">
      <c r="F90" s="5" t="b">
        <f>F89=F60</f>
        <v>1</v>
      </c>
      <c r="G90" s="5" t="b">
        <f>G89=G60</f>
        <v>1</v>
      </c>
      <c r="H90" s="5" t="b">
        <f>H89=H60</f>
        <v>1</v>
      </c>
    </row>
    <row r="91" spans="4:8" s="4" customFormat="1" ht="18" customHeight="1">
      <c r="D91" s="484" t="s">
        <v>12</v>
      </c>
      <c r="E91" s="484"/>
      <c r="F91" s="484"/>
      <c r="G91" s="484"/>
      <c r="H91" s="484"/>
    </row>
    <row r="92" spans="4:8" ht="18" customHeight="1">
      <c r="E92" s="5" t="s">
        <v>533</v>
      </c>
      <c r="F92" s="5">
        <v>0</v>
      </c>
      <c r="G92" s="5">
        <v>0</v>
      </c>
      <c r="H92" s="5">
        <v>0</v>
      </c>
    </row>
    <row r="93" spans="4:8" ht="18" customHeight="1">
      <c r="E93" s="5" t="s">
        <v>1662</v>
      </c>
      <c r="F93" s="5">
        <f>SUM(F63:F64)</f>
        <v>0</v>
      </c>
    </row>
    <row r="94" spans="4:8" ht="18" customHeight="1">
      <c r="E94" s="5" t="s">
        <v>1660</v>
      </c>
      <c r="F94" s="5">
        <v>0</v>
      </c>
      <c r="G94" s="5">
        <v>0</v>
      </c>
      <c r="H94" s="5">
        <v>0</v>
      </c>
    </row>
    <row r="95" spans="4:8" ht="18" customHeight="1">
      <c r="E95" s="5" t="s">
        <v>1661</v>
      </c>
      <c r="F95" s="5">
        <v>0</v>
      </c>
      <c r="G95" s="5">
        <v>0</v>
      </c>
      <c r="H95" s="5">
        <v>0</v>
      </c>
    </row>
    <row r="96" spans="4:8" ht="18" customHeight="1">
      <c r="E96" s="5" t="s">
        <v>538</v>
      </c>
      <c r="F96" s="5">
        <v>0</v>
      </c>
      <c r="G96" s="5">
        <v>0</v>
      </c>
      <c r="H96" s="5">
        <v>0</v>
      </c>
    </row>
    <row r="97" spans="4:8" s="4" customFormat="1" ht="18" customHeight="1" thickBot="1">
      <c r="D97" s="689"/>
      <c r="E97" s="689"/>
      <c r="F97" s="689">
        <f>SUM(F92:F96)</f>
        <v>0</v>
      </c>
      <c r="G97" s="689">
        <f>SUM(G92:G96)</f>
        <v>0</v>
      </c>
      <c r="H97" s="689">
        <f>SUM(H92:H96)</f>
        <v>0</v>
      </c>
    </row>
    <row r="98" spans="4:8" ht="18" customHeight="1" thickTop="1">
      <c r="F98" s="5" t="b">
        <f>F97=F62</f>
        <v>1</v>
      </c>
      <c r="G98" s="5" t="b">
        <f>G97=G62</f>
        <v>1</v>
      </c>
      <c r="H98" s="5" t="b">
        <f>H97=H62</f>
        <v>1</v>
      </c>
    </row>
    <row r="99" spans="4:8" s="4" customFormat="1" ht="18" customHeight="1">
      <c r="D99" s="484" t="s">
        <v>194</v>
      </c>
      <c r="E99" s="484"/>
      <c r="F99" s="484"/>
      <c r="G99" s="484"/>
      <c r="H99" s="484"/>
    </row>
    <row r="100" spans="4:8" ht="18" customHeight="1">
      <c r="E100" s="5" t="s">
        <v>760</v>
      </c>
      <c r="F100" s="5">
        <f>F70</f>
        <v>624260187</v>
      </c>
    </row>
    <row r="101" spans="4:8" ht="18" customHeight="1">
      <c r="E101" s="5" t="s">
        <v>1659</v>
      </c>
    </row>
    <row r="102" spans="4:8" ht="18" customHeight="1">
      <c r="E102" s="5" t="s">
        <v>1660</v>
      </c>
    </row>
    <row r="103" spans="4:8" ht="18" customHeight="1">
      <c r="E103" s="5" t="s">
        <v>1661</v>
      </c>
    </row>
    <row r="104" spans="4:8" ht="18" customHeight="1">
      <c r="E104" s="5" t="s">
        <v>1663</v>
      </c>
      <c r="F104" s="5">
        <v>0</v>
      </c>
    </row>
    <row r="105" spans="4:8" ht="18" customHeight="1">
      <c r="E105" s="5" t="s">
        <v>1664</v>
      </c>
      <c r="F105" s="5">
        <f>F74</f>
        <v>0</v>
      </c>
      <c r="G105" s="5">
        <f>G74</f>
        <v>243581200</v>
      </c>
      <c r="H105" s="5">
        <f>H74</f>
        <v>5664385</v>
      </c>
    </row>
    <row r="106" spans="4:8" ht="18" customHeight="1" thickBot="1">
      <c r="D106" s="362"/>
      <c r="E106" s="362"/>
      <c r="F106" s="362">
        <f>SUM(F100:F105)</f>
        <v>624260187</v>
      </c>
      <c r="G106" s="362">
        <f>SUM(G100:G105)</f>
        <v>243581200</v>
      </c>
      <c r="H106" s="362">
        <f>SUM(H100:H105)</f>
        <v>5664385</v>
      </c>
    </row>
    <row r="107" spans="4:8" ht="18" customHeight="1" thickTop="1">
      <c r="F107" s="5" t="b">
        <f>F106=F66</f>
        <v>1</v>
      </c>
      <c r="G107" s="5" t="b">
        <f>G106=G66</f>
        <v>1</v>
      </c>
      <c r="H107" s="5" t="b">
        <f>H106=H66</f>
        <v>1</v>
      </c>
    </row>
    <row r="108" spans="4:8" s="4" customFormat="1" ht="18" customHeight="1">
      <c r="D108" s="484" t="s">
        <v>13</v>
      </c>
      <c r="E108" s="484"/>
      <c r="F108" s="484"/>
      <c r="G108" s="484"/>
      <c r="H108" s="484"/>
    </row>
    <row r="109" spans="4:8" ht="18" customHeight="1">
      <c r="E109" s="5" t="s">
        <v>1665</v>
      </c>
      <c r="F109" s="5">
        <f>SUM(T_IS!H124)</f>
        <v>-18548422530</v>
      </c>
      <c r="G109" s="5">
        <f>SUM(T_IS!I124)</f>
        <v>-1991551811</v>
      </c>
      <c r="H109" s="5">
        <f>SUM(T_IS!J124)</f>
        <v>-937553701</v>
      </c>
    </row>
    <row r="110" spans="4:8" ht="18" customHeight="1">
      <c r="E110" s="5" t="s">
        <v>1666</v>
      </c>
      <c r="F110" s="5">
        <v>0</v>
      </c>
      <c r="G110" s="5">
        <v>0</v>
      </c>
      <c r="H110" s="5">
        <v>0</v>
      </c>
    </row>
    <row r="111" spans="4:8" ht="18" customHeight="1">
      <c r="E111" s="5" t="s">
        <v>1667</v>
      </c>
      <c r="F111" s="5">
        <v>53817319</v>
      </c>
      <c r="G111" s="5">
        <v>0</v>
      </c>
      <c r="H111" s="5">
        <v>0</v>
      </c>
    </row>
    <row r="112" spans="4:8" ht="18" customHeight="1">
      <c r="E112" s="5" t="s">
        <v>1668</v>
      </c>
      <c r="F112" s="5">
        <v>0</v>
      </c>
      <c r="G112" s="5">
        <v>0</v>
      </c>
      <c r="H112" s="5">
        <v>0</v>
      </c>
    </row>
    <row r="113" spans="4:8" ht="18" customHeight="1" thickBot="1">
      <c r="D113" s="362"/>
      <c r="E113" s="362" t="s">
        <v>1799</v>
      </c>
      <c r="F113" s="362">
        <v>0</v>
      </c>
      <c r="G113" s="362">
        <v>0</v>
      </c>
      <c r="H113" s="362">
        <v>0</v>
      </c>
    </row>
    <row r="114" spans="4:8" s="4" customFormat="1" ht="18" customHeight="1" thickTop="1">
      <c r="F114" s="4">
        <f>SUM(F109:F113)</f>
        <v>-18494605211</v>
      </c>
      <c r="G114" s="4">
        <f>SUM(G109:G113)</f>
        <v>-1991551811</v>
      </c>
      <c r="H114" s="4">
        <f>SUM(H109:H113)</f>
        <v>-937553701</v>
      </c>
    </row>
    <row r="115" spans="4:8" ht="18" customHeight="1">
      <c r="F115" s="5" t="b">
        <f>F114=F75</f>
        <v>0</v>
      </c>
      <c r="G115" s="5" t="b">
        <f>G114=G75</f>
        <v>1</v>
      </c>
      <c r="H115" s="5" t="b">
        <f>H114=H75</f>
        <v>1</v>
      </c>
    </row>
    <row r="116" spans="4:8" ht="18" customHeight="1">
      <c r="F116" s="5">
        <f>F114-F75</f>
        <v>92403385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>
    <tabColor rgb="FFFFFF00"/>
  </sheetPr>
  <dimension ref="D4:L31"/>
  <sheetViews>
    <sheetView showGridLines="0" zoomScale="80" zoomScaleNormal="80" workbookViewId="0">
      <pane xSplit="5" ySplit="5" topLeftCell="F6" activePane="bottomRight" state="frozen"/>
      <selection activeCell="J13" sqref="J13"/>
      <selection pane="topRight" activeCell="J13" sqref="J13"/>
      <selection pane="bottomLeft" activeCell="J13" sqref="J13"/>
      <selection pane="bottomRight" activeCell="M36" sqref="M36"/>
    </sheetView>
  </sheetViews>
  <sheetFormatPr defaultColWidth="8.75" defaultRowHeight="11.25"/>
  <cols>
    <col min="1" max="3" width="2.375" style="5" customWidth="1"/>
    <col min="4" max="5" width="28.375" style="5" customWidth="1"/>
    <col min="6" max="18" width="20.375" style="5" customWidth="1"/>
    <col min="19" max="16384" width="8.75" style="5"/>
  </cols>
  <sheetData>
    <row r="4" spans="4:12" s="4" customFormat="1" ht="18" customHeight="1" thickBot="1">
      <c r="F4" s="4" t="b">
        <f t="shared" ref="F4:L4" si="0">SUM(F6:F18)=0</f>
        <v>1</v>
      </c>
      <c r="G4" s="4" t="b">
        <f t="shared" si="0"/>
        <v>1</v>
      </c>
      <c r="H4" s="4" t="b">
        <f t="shared" si="0"/>
        <v>1</v>
      </c>
      <c r="I4" s="4" t="b">
        <f t="shared" si="0"/>
        <v>1</v>
      </c>
      <c r="J4" s="4" t="b">
        <f t="shared" si="0"/>
        <v>1</v>
      </c>
      <c r="K4" s="4" t="b">
        <f>SUM(K6:K18)=0</f>
        <v>1</v>
      </c>
      <c r="L4" s="4" t="b">
        <f t="shared" si="0"/>
        <v>1</v>
      </c>
    </row>
    <row r="5" spans="4:12" ht="18" customHeight="1">
      <c r="D5" s="391" t="s">
        <v>16</v>
      </c>
      <c r="E5" s="392" t="s">
        <v>19</v>
      </c>
      <c r="F5" s="392" t="s">
        <v>394</v>
      </c>
      <c r="G5" s="392" t="s">
        <v>395</v>
      </c>
      <c r="H5" s="392" t="s">
        <v>396</v>
      </c>
      <c r="I5" s="392" t="s">
        <v>397</v>
      </c>
      <c r="J5" s="393" t="s">
        <v>398</v>
      </c>
      <c r="K5" s="393" t="s">
        <v>2026</v>
      </c>
      <c r="L5" s="393" t="str">
        <f>+'5.0'!N5</f>
        <v>2020 4Q</v>
      </c>
    </row>
    <row r="6" spans="4:12" ht="18" customHeight="1">
      <c r="D6" s="394" t="s">
        <v>373</v>
      </c>
      <c r="E6" s="395" t="s">
        <v>374</v>
      </c>
      <c r="F6" s="52">
        <v>-1000000000</v>
      </c>
      <c r="G6" s="52"/>
      <c r="H6" s="52"/>
      <c r="I6" s="52"/>
      <c r="J6" s="396"/>
      <c r="K6" s="396"/>
      <c r="L6" s="53"/>
    </row>
    <row r="7" spans="4:12" ht="18" customHeight="1">
      <c r="D7" s="394" t="s">
        <v>1356</v>
      </c>
      <c r="E7" s="395" t="s">
        <v>207</v>
      </c>
      <c r="F7" s="52">
        <f>-F6</f>
        <v>1000000000</v>
      </c>
      <c r="G7" s="52"/>
      <c r="H7" s="52"/>
      <c r="I7" s="52"/>
      <c r="J7" s="396"/>
      <c r="K7" s="396"/>
      <c r="L7" s="53"/>
    </row>
    <row r="8" spans="4:12" ht="18" customHeight="1">
      <c r="D8" s="394" t="s">
        <v>1357</v>
      </c>
      <c r="E8" s="52" t="s">
        <v>209</v>
      </c>
      <c r="F8" s="52">
        <f>F6</f>
        <v>-1000000000</v>
      </c>
      <c r="G8" s="52"/>
      <c r="H8" s="52"/>
      <c r="I8" s="52"/>
      <c r="J8" s="396"/>
      <c r="K8" s="396"/>
      <c r="L8" s="53"/>
    </row>
    <row r="9" spans="4:12" ht="18" customHeight="1" thickBot="1">
      <c r="D9" s="397" t="s">
        <v>479</v>
      </c>
      <c r="E9" s="55" t="s">
        <v>554</v>
      </c>
      <c r="F9" s="55">
        <f>-F8</f>
        <v>1000000000</v>
      </c>
      <c r="G9" s="55"/>
      <c r="H9" s="55"/>
      <c r="I9" s="55"/>
      <c r="J9" s="398"/>
      <c r="K9" s="398"/>
      <c r="L9" s="399"/>
    </row>
    <row r="10" spans="4:12" ht="18" customHeight="1"/>
    <row r="11" spans="4:12" ht="18" customHeight="1"/>
    <row r="12" spans="4:12" ht="18" customHeight="1"/>
    <row r="13" spans="4:12" ht="18" customHeight="1"/>
    <row r="14" spans="4:12" ht="18" customHeight="1"/>
    <row r="15" spans="4:12" ht="18" customHeight="1"/>
    <row r="16" spans="4:1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</sheetData>
  <phoneticPr fontId="2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>
    <tabColor rgb="FF002060"/>
  </sheetPr>
  <dimension ref="D3:G16"/>
  <sheetViews>
    <sheetView showGridLines="0" zoomScale="85" zoomScaleNormal="85" workbookViewId="0">
      <selection activeCell="O51" sqref="O51"/>
    </sheetView>
  </sheetViews>
  <sheetFormatPr defaultColWidth="8.75" defaultRowHeight="18" customHeight="1"/>
  <cols>
    <col min="1" max="3" width="2.375" style="3" customWidth="1"/>
    <col min="4" max="22" width="20.375" style="3" customWidth="1"/>
    <col min="23" max="16384" width="8.75" style="3"/>
  </cols>
  <sheetData>
    <row r="3" spans="4:7" s="2" customFormat="1" ht="18" customHeight="1">
      <c r="D3" s="2" t="s">
        <v>553</v>
      </c>
    </row>
    <row r="4" spans="4:7" s="2" customFormat="1" ht="18" customHeight="1" thickBot="1">
      <c r="D4" s="2" t="s">
        <v>540</v>
      </c>
    </row>
    <row r="5" spans="4:7" ht="18" customHeight="1">
      <c r="D5" s="379" t="s">
        <v>541</v>
      </c>
      <c r="E5" s="380" t="s">
        <v>415</v>
      </c>
      <c r="F5" s="380" t="s">
        <v>542</v>
      </c>
      <c r="G5" s="381">
        <v>43100</v>
      </c>
    </row>
    <row r="6" spans="4:7" s="386" customFormat="1" ht="18" customHeight="1">
      <c r="D6" s="382"/>
      <c r="E6" s="383" t="s">
        <v>543</v>
      </c>
      <c r="F6" s="384" t="s">
        <v>544</v>
      </c>
      <c r="G6" s="385"/>
    </row>
    <row r="7" spans="4:7" s="386" customFormat="1" ht="18" customHeight="1">
      <c r="D7" s="382"/>
      <c r="E7" s="383" t="s">
        <v>543</v>
      </c>
      <c r="F7" s="384" t="s">
        <v>545</v>
      </c>
      <c r="G7" s="385"/>
    </row>
    <row r="8" spans="4:7" s="386" customFormat="1" ht="18" customHeight="1">
      <c r="D8" s="382"/>
      <c r="E8" s="383" t="s">
        <v>543</v>
      </c>
      <c r="F8" s="384" t="s">
        <v>9</v>
      </c>
      <c r="G8" s="385"/>
    </row>
    <row r="9" spans="4:7" s="386" customFormat="1" ht="18" customHeight="1">
      <c r="D9" s="382"/>
      <c r="E9" s="383" t="s">
        <v>543</v>
      </c>
      <c r="F9" s="384" t="s">
        <v>546</v>
      </c>
      <c r="G9" s="385"/>
    </row>
    <row r="10" spans="4:7" s="386" customFormat="1" ht="18" customHeight="1">
      <c r="D10" s="382"/>
      <c r="E10" s="383" t="s">
        <v>543</v>
      </c>
      <c r="F10" s="384" t="s">
        <v>547</v>
      </c>
      <c r="G10" s="385"/>
    </row>
    <row r="11" spans="4:7" s="386" customFormat="1" ht="18" customHeight="1">
      <c r="D11" s="382"/>
      <c r="E11" s="383" t="s">
        <v>548</v>
      </c>
      <c r="F11" s="384" t="s">
        <v>228</v>
      </c>
      <c r="G11" s="385"/>
    </row>
    <row r="12" spans="4:7" s="386" customFormat="1" ht="18" customHeight="1">
      <c r="D12" s="382"/>
      <c r="E12" s="383" t="s">
        <v>548</v>
      </c>
      <c r="F12" s="384" t="s">
        <v>549</v>
      </c>
      <c r="G12" s="385"/>
    </row>
    <row r="13" spans="4:7" s="386" customFormat="1" ht="18" customHeight="1">
      <c r="D13" s="382"/>
      <c r="E13" s="383" t="s">
        <v>548</v>
      </c>
      <c r="F13" s="384" t="s">
        <v>382</v>
      </c>
      <c r="G13" s="385"/>
    </row>
    <row r="14" spans="4:7" s="386" customFormat="1" ht="18" customHeight="1">
      <c r="D14" s="382"/>
      <c r="E14" s="383" t="s">
        <v>548</v>
      </c>
      <c r="F14" s="384" t="s">
        <v>550</v>
      </c>
      <c r="G14" s="385"/>
    </row>
    <row r="15" spans="4:7" s="386" customFormat="1" ht="18" customHeight="1">
      <c r="D15" s="382"/>
      <c r="E15" s="383" t="s">
        <v>548</v>
      </c>
      <c r="F15" s="384" t="s">
        <v>551</v>
      </c>
      <c r="G15" s="385"/>
    </row>
    <row r="16" spans="4:7" s="386" customFormat="1" ht="18" customHeight="1" thickBot="1">
      <c r="D16" s="387"/>
      <c r="E16" s="388" t="s">
        <v>538</v>
      </c>
      <c r="F16" s="389" t="s">
        <v>552</v>
      </c>
      <c r="G16" s="390"/>
    </row>
  </sheetData>
  <phoneticPr fontId="20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>
    <tabColor rgb="FFFFFF00"/>
  </sheetPr>
  <dimension ref="C2:O30"/>
  <sheetViews>
    <sheetView showGridLines="0" tabSelected="1" topLeftCell="A4" zoomScaleNormal="100" workbookViewId="0">
      <selection activeCell="J22" sqref="J22"/>
    </sheetView>
  </sheetViews>
  <sheetFormatPr defaultColWidth="8.75" defaultRowHeight="18" customHeight="1"/>
  <cols>
    <col min="1" max="3" width="2.375" style="5" customWidth="1"/>
    <col min="4" max="4" width="20.375" style="253" customWidth="1"/>
    <col min="5" max="11" width="20.375" style="5" customWidth="1"/>
    <col min="12" max="12" width="2.375" style="5" customWidth="1"/>
    <col min="13" max="20" width="20.375" style="5" customWidth="1"/>
    <col min="21" max="16384" width="8.75" style="5"/>
  </cols>
  <sheetData>
    <row r="2" spans="3:13" ht="18" customHeight="1">
      <c r="H2" s="7">
        <f>G2-F2</f>
        <v>0</v>
      </c>
    </row>
    <row r="3" spans="3:13" ht="18" customHeight="1" thickBot="1"/>
    <row r="4" spans="3:13" ht="18" customHeight="1">
      <c r="D4" s="342" t="s">
        <v>16</v>
      </c>
      <c r="E4" s="343" t="s">
        <v>19</v>
      </c>
      <c r="F4" s="343" t="s">
        <v>494</v>
      </c>
      <c r="G4" s="343" t="s">
        <v>495</v>
      </c>
      <c r="H4" s="343" t="s">
        <v>496</v>
      </c>
      <c r="I4" s="343" t="s">
        <v>478</v>
      </c>
      <c r="J4" s="343" t="s">
        <v>497</v>
      </c>
      <c r="K4" s="344" t="s">
        <v>498</v>
      </c>
      <c r="M4" s="365" t="s">
        <v>1980</v>
      </c>
    </row>
    <row r="5" spans="3:13" ht="18" customHeight="1">
      <c r="D5" s="366">
        <v>900019</v>
      </c>
      <c r="E5" s="7" t="s">
        <v>81</v>
      </c>
      <c r="F5" s="7">
        <v>72397946695</v>
      </c>
      <c r="G5" s="7">
        <f>SUM(J5:K5)</f>
        <v>0</v>
      </c>
      <c r="H5" s="7">
        <f t="shared" ref="H5:H23" si="0">G5-F5</f>
        <v>-72397946695</v>
      </c>
      <c r="I5" s="7"/>
      <c r="J5" s="7">
        <v>0</v>
      </c>
      <c r="K5" s="347">
        <v>0</v>
      </c>
      <c r="M5" s="39">
        <f>SUMIF(T_BS!$D:$D,'8.0'!D5,T_BS!W:W)</f>
        <v>0</v>
      </c>
    </row>
    <row r="6" spans="3:13" ht="18" customHeight="1">
      <c r="D6" s="366" t="s">
        <v>1952</v>
      </c>
      <c r="E6" s="7" t="s">
        <v>1954</v>
      </c>
      <c r="F6" s="7">
        <v>-66468946700</v>
      </c>
      <c r="G6" s="7">
        <f>SUM(J6:K6)</f>
        <v>0</v>
      </c>
      <c r="H6" s="7">
        <f t="shared" si="0"/>
        <v>66468946700</v>
      </c>
      <c r="I6" s="7"/>
      <c r="J6" s="7">
        <v>0</v>
      </c>
      <c r="K6" s="347"/>
      <c r="M6" s="39">
        <f>SUMIF(T_BS!$D:$D,'8.0'!D6,T_BS!W:W)</f>
        <v>0</v>
      </c>
    </row>
    <row r="7" spans="3:13" ht="18" customHeight="1">
      <c r="D7" s="366">
        <v>310100</v>
      </c>
      <c r="E7" s="7" t="s">
        <v>190</v>
      </c>
      <c r="F7" s="7">
        <v>-65954671000</v>
      </c>
      <c r="G7" s="7">
        <f t="shared" ref="G7:G23" si="1">SUM(J7:K7)</f>
        <v>-28429923500</v>
      </c>
      <c r="H7" s="7">
        <f t="shared" si="0"/>
        <v>37524747500</v>
      </c>
      <c r="I7" s="7"/>
      <c r="J7" s="7">
        <f>-T_BS!H222</f>
        <v>-28429923500</v>
      </c>
      <c r="K7" s="347"/>
      <c r="M7" s="39">
        <f>-SUMIF(T_BS!$D:$D,'8.0'!D7,T_BS!W:W)</f>
        <v>-28429923500</v>
      </c>
    </row>
    <row r="8" spans="3:13" ht="18" customHeight="1">
      <c r="D8" s="366">
        <v>320100</v>
      </c>
      <c r="E8" s="7" t="s">
        <v>191</v>
      </c>
      <c r="F8" s="7">
        <v>-177997002186</v>
      </c>
      <c r="G8" s="7">
        <f t="shared" si="1"/>
        <v>-177997002186</v>
      </c>
      <c r="H8" s="7">
        <f t="shared" si="0"/>
        <v>0</v>
      </c>
      <c r="I8" s="7"/>
      <c r="J8" s="7">
        <f>-T_BS!H224</f>
        <v>-177997002186</v>
      </c>
      <c r="K8" s="347"/>
      <c r="M8" s="39">
        <f>-SUMIF(T_BS!$D:$D,'8.0'!D8,T_BS!W:W)</f>
        <v>-177997002186</v>
      </c>
    </row>
    <row r="9" spans="3:13" ht="18" customHeight="1">
      <c r="D9" s="366">
        <v>320500</v>
      </c>
      <c r="E9" s="7" t="s">
        <v>192</v>
      </c>
      <c r="F9" s="7">
        <v>0</v>
      </c>
      <c r="G9" s="7">
        <f t="shared" si="1"/>
        <v>0</v>
      </c>
      <c r="H9" s="7">
        <f t="shared" si="0"/>
        <v>0</v>
      </c>
      <c r="I9" s="7"/>
      <c r="J9" s="7">
        <f>-T_BS!H225</f>
        <v>0</v>
      </c>
      <c r="K9" s="347"/>
      <c r="M9" s="39">
        <f>-SUMIF(T_BS!$D:$D,'8.0'!D9,T_BS!W:W)</f>
        <v>0</v>
      </c>
    </row>
    <row r="10" spans="3:13" ht="18" customHeight="1">
      <c r="D10" s="366">
        <v>320300</v>
      </c>
      <c r="E10" s="7" t="s">
        <v>193</v>
      </c>
      <c r="F10" s="7">
        <v>-562575670</v>
      </c>
      <c r="G10" s="7">
        <f t="shared" si="1"/>
        <v>-562575670</v>
      </c>
      <c r="H10" s="7">
        <f t="shared" si="0"/>
        <v>0</v>
      </c>
      <c r="I10" s="7"/>
      <c r="J10" s="367">
        <v>-562575670</v>
      </c>
      <c r="K10" s="347"/>
      <c r="M10" s="39">
        <f>-SUMIF(T_BS!$D:$D,'8.0'!D10,T_BS!W:W)</f>
        <v>-562575670</v>
      </c>
    </row>
    <row r="11" spans="3:13" ht="18" customHeight="1">
      <c r="D11" s="366">
        <v>350300</v>
      </c>
      <c r="E11" s="7" t="s">
        <v>195</v>
      </c>
      <c r="F11" s="7">
        <v>4240000</v>
      </c>
      <c r="G11" s="7">
        <f t="shared" si="1"/>
        <v>4240000</v>
      </c>
      <c r="H11" s="7">
        <f t="shared" si="0"/>
        <v>0</v>
      </c>
      <c r="I11" s="7"/>
      <c r="J11" s="7">
        <f>-T_BS!H228</f>
        <v>4240000</v>
      </c>
      <c r="K11" s="347"/>
      <c r="M11" s="39">
        <f>-SUMIF(T_BS!$D:$D,'8.0'!D11,T_BS!W:W)</f>
        <v>4240000</v>
      </c>
    </row>
    <row r="12" spans="3:13" ht="18" customHeight="1">
      <c r="D12" s="366">
        <v>350350</v>
      </c>
      <c r="E12" s="7" t="s">
        <v>196</v>
      </c>
      <c r="F12" s="7">
        <v>1292039719</v>
      </c>
      <c r="G12" s="7">
        <f t="shared" si="1"/>
        <v>1292039719</v>
      </c>
      <c r="H12" s="7">
        <f t="shared" si="0"/>
        <v>0</v>
      </c>
      <c r="I12" s="7"/>
      <c r="J12" s="7">
        <f>-T_BS!H229</f>
        <v>1292039719</v>
      </c>
      <c r="K12" s="347"/>
      <c r="M12" s="39">
        <f>-SUMIF(T_BS!$D:$D,'8.0'!D12,T_BS!W:W)</f>
        <v>1292039719</v>
      </c>
    </row>
    <row r="13" spans="3:13" ht="18" customHeight="1">
      <c r="D13" s="366" t="s">
        <v>1349</v>
      </c>
      <c r="E13" s="7" t="s">
        <v>225</v>
      </c>
      <c r="F13" s="7">
        <v>0</v>
      </c>
      <c r="G13" s="7">
        <f t="shared" si="1"/>
        <v>0</v>
      </c>
      <c r="H13" s="7">
        <f t="shared" si="0"/>
        <v>0</v>
      </c>
      <c r="I13" s="7"/>
      <c r="J13" s="7">
        <f>-T_BS!H230</f>
        <v>0</v>
      </c>
      <c r="K13" s="347"/>
      <c r="M13" s="39">
        <f>-SUMIF(T_BS!$D:$D,'8.0'!D13,T_BS!W:W)</f>
        <v>0</v>
      </c>
    </row>
    <row r="14" spans="3:13" ht="18" customHeight="1">
      <c r="D14" s="366">
        <v>350400</v>
      </c>
      <c r="E14" s="7" t="s">
        <v>197</v>
      </c>
      <c r="F14" s="7">
        <v>-1298943576</v>
      </c>
      <c r="G14" s="7">
        <f t="shared" si="1"/>
        <v>-1298943576</v>
      </c>
      <c r="H14" s="7">
        <f t="shared" si="0"/>
        <v>0</v>
      </c>
      <c r="I14" s="7"/>
      <c r="J14" s="7">
        <f>-T_BS!H231</f>
        <v>-1298943576</v>
      </c>
      <c r="K14" s="347"/>
      <c r="M14" s="39">
        <f>-SUMIF(T_BS!$D:$D,'8.0'!D14,T_BS!W:W)</f>
        <v>-1298943576</v>
      </c>
    </row>
    <row r="15" spans="3:13" ht="18" customHeight="1">
      <c r="C15" s="4" t="s">
        <v>557</v>
      </c>
      <c r="D15" s="366">
        <v>350210</v>
      </c>
      <c r="E15" s="7" t="s">
        <v>198</v>
      </c>
      <c r="F15" s="7">
        <v>8498363093</v>
      </c>
      <c r="G15" s="7">
        <f t="shared" si="1"/>
        <v>2731869088</v>
      </c>
      <c r="H15" s="7">
        <f t="shared" si="0"/>
        <v>-5766494005</v>
      </c>
      <c r="I15" s="7"/>
      <c r="J15" s="367">
        <f>-E29</f>
        <v>2731869088</v>
      </c>
      <c r="K15" s="347"/>
      <c r="M15" s="39">
        <f>-SUMIF(T_BS!$D:$D,'8.0'!D15,T_BS!W:W)</f>
        <v>2731869088</v>
      </c>
    </row>
    <row r="16" spans="3:13" ht="18" customHeight="1">
      <c r="D16" s="366" t="s">
        <v>1352</v>
      </c>
      <c r="E16" s="7" t="s">
        <v>200</v>
      </c>
      <c r="F16" s="7">
        <v>0</v>
      </c>
      <c r="G16" s="7">
        <f t="shared" si="1"/>
        <v>0</v>
      </c>
      <c r="H16" s="7">
        <f t="shared" si="0"/>
        <v>0</v>
      </c>
      <c r="I16" s="7"/>
      <c r="J16" s="7">
        <v>0</v>
      </c>
      <c r="K16" s="347"/>
      <c r="M16" s="39">
        <f>-SUMIF(T_BS!$D:$D,'8.0'!D16,T_BS!W:W)</f>
        <v>0</v>
      </c>
    </row>
    <row r="17" spans="3:15" ht="18" customHeight="1">
      <c r="D17" s="366" t="s">
        <v>1353</v>
      </c>
      <c r="E17" s="7" t="s">
        <v>202</v>
      </c>
      <c r="F17" s="7">
        <v>0</v>
      </c>
      <c r="G17" s="7">
        <f t="shared" si="1"/>
        <v>0</v>
      </c>
      <c r="H17" s="7">
        <f t="shared" si="0"/>
        <v>0</v>
      </c>
      <c r="I17" s="7"/>
      <c r="J17" s="7">
        <v>0</v>
      </c>
      <c r="K17" s="347"/>
      <c r="M17" s="39">
        <f>-SUMIF(T_BS!$D:$D,'8.0'!D17,T_BS!W:W)</f>
        <v>0</v>
      </c>
    </row>
    <row r="18" spans="3:15" ht="18" customHeight="1">
      <c r="D18" s="366" t="s">
        <v>1354</v>
      </c>
      <c r="E18" s="7" t="s">
        <v>1350</v>
      </c>
      <c r="F18" s="7">
        <v>-2148220724</v>
      </c>
      <c r="G18" s="7">
        <f t="shared" si="1"/>
        <v>-2418521277</v>
      </c>
      <c r="H18" s="7">
        <f t="shared" si="0"/>
        <v>-270300553</v>
      </c>
      <c r="I18" s="7"/>
      <c r="J18" s="367">
        <v>-2051963668</v>
      </c>
      <c r="K18" s="347">
        <f>-OCI!X12</f>
        <v>-366557609</v>
      </c>
      <c r="M18" s="39">
        <f>-SUMIF(T_BS!$D:$D,'8.0'!D18,T_BS!W:W)</f>
        <v>-2418521277</v>
      </c>
      <c r="N18" s="5" t="s">
        <v>1941</v>
      </c>
      <c r="O18" s="5" t="s">
        <v>1942</v>
      </c>
    </row>
    <row r="19" spans="3:15" ht="18" customHeight="1">
      <c r="D19" s="366" t="s">
        <v>1355</v>
      </c>
      <c r="E19" s="7" t="s">
        <v>1351</v>
      </c>
      <c r="F19" s="7">
        <v>0</v>
      </c>
      <c r="G19" s="7"/>
      <c r="H19" s="7">
        <f t="shared" si="0"/>
        <v>0</v>
      </c>
      <c r="I19" s="7"/>
      <c r="J19" s="7"/>
      <c r="K19" s="347"/>
      <c r="M19" s="39">
        <f>-SUMIF(T_BS!$D:$D,'8.0'!D19,T_BS!W:W)</f>
        <v>0</v>
      </c>
    </row>
    <row r="20" spans="3:15" ht="18" customHeight="1">
      <c r="D20" s="366">
        <v>350951</v>
      </c>
      <c r="E20" s="7" t="s">
        <v>205</v>
      </c>
      <c r="F20" s="7">
        <v>279145066</v>
      </c>
      <c r="G20" s="7">
        <f t="shared" si="1"/>
        <v>279145066</v>
      </c>
      <c r="H20" s="7">
        <f t="shared" si="0"/>
        <v>0</v>
      </c>
      <c r="I20" s="7"/>
      <c r="J20" s="367">
        <v>240559000</v>
      </c>
      <c r="K20" s="347">
        <f>-OCI!AD12</f>
        <v>38586066</v>
      </c>
      <c r="M20" s="39">
        <f>-SUMIF(T_BS!$D:$D,'8.0'!D20,T_BS!W:W)</f>
        <v>279145066</v>
      </c>
      <c r="N20" s="5" t="s">
        <v>1941</v>
      </c>
      <c r="O20" s="5" t="s">
        <v>1942</v>
      </c>
    </row>
    <row r="21" spans="3:15" ht="18" customHeight="1">
      <c r="D21" s="366">
        <v>340100</v>
      </c>
      <c r="E21" s="7" t="s">
        <v>207</v>
      </c>
      <c r="F21" s="7">
        <v>113089353714</v>
      </c>
      <c r="G21" s="7">
        <f t="shared" si="1"/>
        <v>87530400767</v>
      </c>
      <c r="H21" s="7">
        <f t="shared" si="0"/>
        <v>-25558952947</v>
      </c>
      <c r="I21" s="7"/>
      <c r="J21" s="368">
        <v>87530400767</v>
      </c>
      <c r="K21" s="347"/>
      <c r="M21" s="39">
        <f>-SUMIF(T_BS!$D:$D,'8.0'!D21,T_BS!W:W)</f>
        <v>87530400767</v>
      </c>
    </row>
    <row r="22" spans="3:15" ht="18" customHeight="1">
      <c r="D22" s="366" t="s">
        <v>1357</v>
      </c>
      <c r="E22" s="7" t="s">
        <v>209</v>
      </c>
      <c r="F22" s="7">
        <v>23067872601</v>
      </c>
      <c r="G22" s="7">
        <f t="shared" si="1"/>
        <v>23067872601</v>
      </c>
      <c r="H22" s="7">
        <f t="shared" si="0"/>
        <v>0</v>
      </c>
      <c r="I22" s="7"/>
      <c r="J22" s="7">
        <f>-NCI!F32</f>
        <v>23067872601</v>
      </c>
      <c r="K22" s="347"/>
      <c r="M22" s="39">
        <f>-SUMIF(T_BS!$D:$D,'8.0'!D22,T_BS!W:W)</f>
        <v>23067872601</v>
      </c>
    </row>
    <row r="23" spans="3:15" ht="18" customHeight="1" thickBot="1">
      <c r="D23" s="369" t="s">
        <v>211</v>
      </c>
      <c r="E23" s="370" t="s">
        <v>210</v>
      </c>
      <c r="F23" s="370">
        <v>0</v>
      </c>
      <c r="G23" s="370">
        <f t="shared" si="1"/>
        <v>0</v>
      </c>
      <c r="H23" s="7">
        <f t="shared" si="0"/>
        <v>0</v>
      </c>
      <c r="I23" s="370"/>
      <c r="J23" s="370"/>
      <c r="K23" s="371"/>
      <c r="M23" s="39">
        <f>-SUMIF(T_BS!$D:$D,'8.0'!D23,T_BS!W:W)</f>
        <v>0</v>
      </c>
    </row>
    <row r="24" spans="3:15" s="4" customFormat="1" ht="18" customHeight="1" thickBot="1">
      <c r="D24" s="372"/>
      <c r="E24" s="373"/>
      <c r="F24" s="373">
        <f>SUM(F5:F23)</f>
        <v>-95801398968</v>
      </c>
      <c r="G24" s="373">
        <f>SUM(G5:G23)</f>
        <v>-95801398968</v>
      </c>
      <c r="H24" s="373">
        <f>SUM(H5:H23)</f>
        <v>0</v>
      </c>
      <c r="I24" s="373"/>
      <c r="J24" s="373"/>
      <c r="K24" s="374"/>
      <c r="M24" s="375"/>
    </row>
    <row r="25" spans="3:15" ht="18" customHeight="1">
      <c r="G25" s="5">
        <f>+F24-G24</f>
        <v>0</v>
      </c>
    </row>
    <row r="26" spans="3:15" s="4" customFormat="1" ht="18" customHeight="1">
      <c r="C26" s="4" t="s">
        <v>557</v>
      </c>
      <c r="D26" s="376" t="s">
        <v>198</v>
      </c>
    </row>
    <row r="27" spans="3:15" s="4" customFormat="1" ht="18" customHeight="1">
      <c r="D27" s="376" t="s">
        <v>461</v>
      </c>
      <c r="E27" s="4">
        <v>-2731869088</v>
      </c>
    </row>
    <row r="28" spans="3:15" s="4" customFormat="1" ht="18" customHeight="1">
      <c r="D28" s="376" t="s">
        <v>1588</v>
      </c>
      <c r="E28" s="4">
        <v>0</v>
      </c>
    </row>
    <row r="29" spans="3:15" s="4" customFormat="1" ht="18" customHeight="1" thickBot="1">
      <c r="D29" s="377" t="s">
        <v>558</v>
      </c>
      <c r="E29" s="378">
        <f>SUM(E27:E28)</f>
        <v>-2731869088</v>
      </c>
    </row>
    <row r="30" spans="3:15" ht="18" customHeight="1" thickTop="1"/>
  </sheetData>
  <phoneticPr fontId="20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>
    <tabColor rgb="FFFFFF00"/>
  </sheetPr>
  <dimension ref="D4:AC18"/>
  <sheetViews>
    <sheetView showGridLines="0" zoomScale="80" zoomScaleNormal="80" workbookViewId="0">
      <pane xSplit="6" ySplit="5" topLeftCell="G6" activePane="bottomRight" state="frozen"/>
      <selection activeCell="J13" sqref="J13"/>
      <selection pane="topRight" activeCell="J13" sqref="J13"/>
      <selection pane="bottomLeft" activeCell="J13" sqref="J13"/>
      <selection pane="bottomRight" activeCell="P6" sqref="P6"/>
    </sheetView>
  </sheetViews>
  <sheetFormatPr defaultColWidth="8.75" defaultRowHeight="18" customHeight="1"/>
  <cols>
    <col min="1" max="3" width="2.375" style="5" customWidth="1"/>
    <col min="4" max="11" width="16.375" style="5" customWidth="1"/>
    <col min="12" max="12" width="1.125" style="5" customWidth="1"/>
    <col min="13" max="17" width="16.375" style="5" customWidth="1"/>
    <col min="18" max="18" width="1.125" style="5" customWidth="1"/>
    <col min="19" max="29" width="14" style="5" customWidth="1"/>
    <col min="30" max="16384" width="8.75" style="5"/>
  </cols>
  <sheetData>
    <row r="4" spans="4:29" ht="18" customHeight="1">
      <c r="D4" s="938" t="s">
        <v>415</v>
      </c>
      <c r="E4" s="938" t="s">
        <v>504</v>
      </c>
      <c r="F4" s="938" t="s">
        <v>505</v>
      </c>
      <c r="G4" s="937" t="s">
        <v>1672</v>
      </c>
      <c r="H4" s="937"/>
      <c r="I4" s="937"/>
      <c r="J4" s="937"/>
      <c r="K4" s="937"/>
      <c r="M4" s="937" t="s">
        <v>1672</v>
      </c>
      <c r="N4" s="937"/>
      <c r="O4" s="937"/>
      <c r="P4" s="937"/>
      <c r="Q4" s="937"/>
      <c r="S4" s="937" t="s">
        <v>524</v>
      </c>
      <c r="T4" s="937"/>
      <c r="U4" s="937"/>
      <c r="V4" s="937"/>
      <c r="W4" s="937"/>
      <c r="X4" s="937"/>
      <c r="Y4" s="937"/>
      <c r="Z4" s="937"/>
      <c r="AA4" s="937"/>
      <c r="AB4" s="937"/>
      <c r="AC4" s="937"/>
    </row>
    <row r="5" spans="4:29" s="8" customFormat="1" ht="18" customHeight="1">
      <c r="D5" s="938"/>
      <c r="E5" s="938"/>
      <c r="F5" s="938"/>
      <c r="G5" s="322" t="s">
        <v>1671</v>
      </c>
      <c r="H5" s="322" t="s">
        <v>1669</v>
      </c>
      <c r="I5" s="322" t="s">
        <v>1670</v>
      </c>
      <c r="J5" s="322" t="s">
        <v>1859</v>
      </c>
      <c r="K5" s="322" t="s">
        <v>1866</v>
      </c>
      <c r="M5" s="322" t="s">
        <v>1866</v>
      </c>
      <c r="N5" s="322" t="s">
        <v>1669</v>
      </c>
      <c r="O5" s="322" t="s">
        <v>1670</v>
      </c>
      <c r="P5" s="322" t="s">
        <v>1859</v>
      </c>
      <c r="Q5" s="322" t="s">
        <v>2005</v>
      </c>
      <c r="S5" s="353" t="s">
        <v>1673</v>
      </c>
      <c r="T5" s="353" t="s">
        <v>1674</v>
      </c>
      <c r="U5" s="353" t="s">
        <v>1675</v>
      </c>
      <c r="V5" s="353" t="s">
        <v>1676</v>
      </c>
      <c r="W5" s="353" t="s">
        <v>1677</v>
      </c>
      <c r="X5" s="353" t="s">
        <v>527</v>
      </c>
      <c r="Y5" s="353" t="s">
        <v>1678</v>
      </c>
      <c r="Z5" s="353" t="s">
        <v>1679</v>
      </c>
      <c r="AA5" s="353" t="s">
        <v>1680</v>
      </c>
      <c r="AB5" s="353" t="s">
        <v>1681</v>
      </c>
      <c r="AC5" s="353" t="s">
        <v>1682</v>
      </c>
    </row>
    <row r="6" spans="4:29" ht="18" customHeight="1">
      <c r="D6" s="7" t="s">
        <v>524</v>
      </c>
      <c r="E6" s="7" t="s">
        <v>15</v>
      </c>
      <c r="F6" s="7" t="s">
        <v>217</v>
      </c>
      <c r="G6" s="7">
        <v>3443881577</v>
      </c>
      <c r="H6" s="7">
        <v>0</v>
      </c>
      <c r="I6" s="7">
        <v>0</v>
      </c>
      <c r="J6" s="7">
        <v>-1401597960</v>
      </c>
      <c r="K6" s="7">
        <f t="shared" ref="K6:K8" si="0">G6+J6</f>
        <v>2042283617</v>
      </c>
      <c r="M6" s="7">
        <f t="shared" ref="M6:M11" si="1">+K6</f>
        <v>2042283617</v>
      </c>
      <c r="N6" s="7">
        <v>0</v>
      </c>
      <c r="O6" s="7">
        <v>0</v>
      </c>
      <c r="P6" s="7">
        <v>-2042283617</v>
      </c>
      <c r="Q6" s="7">
        <f t="shared" ref="Q6:Q11" si="2">SUM(M6:P6)</f>
        <v>0</v>
      </c>
      <c r="AC6" s="5">
        <f t="shared" ref="AC6:AC11" si="3">-Q6</f>
        <v>0</v>
      </c>
    </row>
    <row r="7" spans="4:29" ht="18" customHeight="1">
      <c r="D7" s="7" t="s">
        <v>524</v>
      </c>
      <c r="E7" s="7" t="s">
        <v>15</v>
      </c>
      <c r="F7" s="7" t="s">
        <v>213</v>
      </c>
      <c r="G7" s="7">
        <v>0</v>
      </c>
      <c r="H7" s="7">
        <v>0</v>
      </c>
      <c r="I7" s="7">
        <v>0</v>
      </c>
      <c r="J7" s="7">
        <v>0</v>
      </c>
      <c r="K7" s="7">
        <f t="shared" si="0"/>
        <v>0</v>
      </c>
      <c r="M7" s="7">
        <f t="shared" si="1"/>
        <v>0</v>
      </c>
      <c r="N7" s="7">
        <v>0</v>
      </c>
      <c r="O7" s="7">
        <v>0</v>
      </c>
      <c r="P7" s="7"/>
      <c r="Q7" s="7">
        <f t="shared" si="2"/>
        <v>0</v>
      </c>
      <c r="AC7" s="5">
        <f t="shared" si="3"/>
        <v>0</v>
      </c>
    </row>
    <row r="8" spans="4:29" ht="18" customHeight="1">
      <c r="D8" s="7" t="s">
        <v>524</v>
      </c>
      <c r="E8" s="7" t="s">
        <v>15</v>
      </c>
      <c r="F8" s="7" t="s">
        <v>214</v>
      </c>
      <c r="G8" s="7">
        <v>0</v>
      </c>
      <c r="H8" s="7">
        <v>0</v>
      </c>
      <c r="I8" s="7">
        <v>0</v>
      </c>
      <c r="J8" s="7">
        <v>0</v>
      </c>
      <c r="K8" s="7">
        <f t="shared" si="0"/>
        <v>0</v>
      </c>
      <c r="M8" s="7">
        <f t="shared" si="1"/>
        <v>0</v>
      </c>
      <c r="N8" s="7">
        <v>0</v>
      </c>
      <c r="O8" s="7">
        <v>0</v>
      </c>
      <c r="P8" s="7"/>
      <c r="Q8" s="7">
        <f t="shared" si="2"/>
        <v>0</v>
      </c>
      <c r="AC8" s="5">
        <f t="shared" si="3"/>
        <v>0</v>
      </c>
    </row>
    <row r="9" spans="4:29" ht="18" customHeight="1">
      <c r="D9" s="7" t="s">
        <v>524</v>
      </c>
      <c r="E9" s="7" t="s">
        <v>15</v>
      </c>
      <c r="F9" s="7" t="s">
        <v>215</v>
      </c>
      <c r="G9" s="7">
        <v>29999999995</v>
      </c>
      <c r="H9" s="7">
        <v>0</v>
      </c>
      <c r="I9" s="7">
        <v>0</v>
      </c>
      <c r="J9" s="881">
        <v>-24071000000</v>
      </c>
      <c r="K9" s="7">
        <f>G9+J9</f>
        <v>5928999995</v>
      </c>
      <c r="M9" s="7">
        <f t="shared" si="1"/>
        <v>5928999995</v>
      </c>
      <c r="N9" s="7">
        <v>0</v>
      </c>
      <c r="O9" s="7">
        <v>0</v>
      </c>
      <c r="P9" s="7"/>
      <c r="Q9" s="7">
        <f t="shared" si="2"/>
        <v>5928999995</v>
      </c>
      <c r="AC9" s="5">
        <f t="shared" si="3"/>
        <v>-5928999995</v>
      </c>
    </row>
    <row r="10" spans="4:29" ht="18" customHeight="1">
      <c r="D10" s="7" t="s">
        <v>524</v>
      </c>
      <c r="E10" s="7" t="s">
        <v>15</v>
      </c>
      <c r="F10" s="7" t="s">
        <v>531</v>
      </c>
      <c r="G10" s="7"/>
      <c r="H10" s="7">
        <v>0</v>
      </c>
      <c r="I10" s="7">
        <v>0</v>
      </c>
      <c r="J10" s="7">
        <v>0</v>
      </c>
      <c r="K10" s="7">
        <f t="shared" ref="K10:K11" si="4">G10+J10</f>
        <v>0</v>
      </c>
      <c r="M10" s="7">
        <f t="shared" si="1"/>
        <v>0</v>
      </c>
      <c r="N10" s="7">
        <v>0</v>
      </c>
      <c r="O10" s="7">
        <v>0</v>
      </c>
      <c r="P10" s="7">
        <v>0</v>
      </c>
      <c r="Q10" s="7">
        <f t="shared" si="2"/>
        <v>0</v>
      </c>
      <c r="AC10" s="5">
        <f t="shared" si="3"/>
        <v>0</v>
      </c>
    </row>
    <row r="11" spans="4:29" ht="18" customHeight="1" thickBot="1">
      <c r="D11" s="362" t="s">
        <v>524</v>
      </c>
      <c r="E11" s="362" t="s">
        <v>15</v>
      </c>
      <c r="F11" s="362" t="s">
        <v>216</v>
      </c>
      <c r="G11" s="362">
        <v>13268496000</v>
      </c>
      <c r="H11" s="362"/>
      <c r="I11" s="362">
        <v>-13268496000</v>
      </c>
      <c r="J11" s="362"/>
      <c r="K11" s="7">
        <f t="shared" si="4"/>
        <v>13268496000</v>
      </c>
      <c r="M11" s="362">
        <f t="shared" si="1"/>
        <v>13268496000</v>
      </c>
      <c r="N11" s="362"/>
      <c r="O11" s="362">
        <f>-M11</f>
        <v>-13268496000</v>
      </c>
      <c r="P11" s="362"/>
      <c r="Q11" s="362">
        <f t="shared" si="2"/>
        <v>0</v>
      </c>
      <c r="S11" s="362"/>
      <c r="T11" s="362"/>
      <c r="U11" s="362"/>
      <c r="V11" s="362"/>
      <c r="W11" s="362"/>
      <c r="X11" s="362"/>
      <c r="Y11" s="362"/>
      <c r="Z11" s="362"/>
      <c r="AA11" s="362"/>
      <c r="AB11" s="362"/>
      <c r="AC11" s="362">
        <f t="shared" si="3"/>
        <v>0</v>
      </c>
    </row>
    <row r="12" spans="4:29" s="4" customFormat="1" ht="18" customHeight="1" thickTop="1">
      <c r="G12" s="4">
        <f>SUM(G6:G11)</f>
        <v>46712377572</v>
      </c>
      <c r="H12" s="4">
        <f>SUM(H6:H11)</f>
        <v>0</v>
      </c>
      <c r="I12" s="4">
        <f>SUM(I6:I11)</f>
        <v>-13268496000</v>
      </c>
      <c r="J12" s="4">
        <f>SUM(J6:J11)</f>
        <v>-25472597960</v>
      </c>
      <c r="K12" s="4">
        <f>SUM(K6:K11)</f>
        <v>21239779612</v>
      </c>
      <c r="M12" s="4">
        <f>SUM(M6:M11)</f>
        <v>21239779612</v>
      </c>
      <c r="N12" s="4">
        <f>SUM(N6:N11)</f>
        <v>0</v>
      </c>
      <c r="O12" s="4">
        <f>SUM(O6:O11)</f>
        <v>-13268496000</v>
      </c>
      <c r="P12" s="4">
        <f>SUM(P6:P11)</f>
        <v>-2042283617</v>
      </c>
      <c r="Q12" s="4">
        <f>SUM(Q6:Q11)</f>
        <v>5928999995</v>
      </c>
      <c r="S12" s="4">
        <f t="shared" ref="S12:AC12" si="5">SUM(S6:S11)</f>
        <v>0</v>
      </c>
      <c r="T12" s="4">
        <f t="shared" si="5"/>
        <v>0</v>
      </c>
      <c r="U12" s="4">
        <f t="shared" si="5"/>
        <v>0</v>
      </c>
      <c r="V12" s="4">
        <f t="shared" si="5"/>
        <v>0</v>
      </c>
      <c r="W12" s="4">
        <f t="shared" si="5"/>
        <v>0</v>
      </c>
      <c r="X12" s="4">
        <f t="shared" si="5"/>
        <v>0</v>
      </c>
      <c r="Y12" s="4">
        <f t="shared" si="5"/>
        <v>0</v>
      </c>
      <c r="Z12" s="4">
        <f t="shared" si="5"/>
        <v>0</v>
      </c>
      <c r="AA12" s="4">
        <f t="shared" si="5"/>
        <v>0</v>
      </c>
      <c r="AB12" s="4">
        <f t="shared" si="5"/>
        <v>0</v>
      </c>
      <c r="AC12" s="4">
        <f t="shared" si="5"/>
        <v>-5928999995</v>
      </c>
    </row>
    <row r="13" spans="4:29" s="4" customFormat="1" ht="18" customHeight="1">
      <c r="Q13" s="4" t="b">
        <f>T_BS!H86=Q12</f>
        <v>1</v>
      </c>
    </row>
    <row r="15" spans="4:29" s="4" customFormat="1" ht="18" customHeight="1"/>
    <row r="16" spans="4:29" ht="18" customHeight="1">
      <c r="K16" s="882"/>
    </row>
    <row r="18" spans="4:5" s="253" customFormat="1" ht="18" customHeight="1">
      <c r="D18" s="363"/>
      <c r="E18" s="364"/>
    </row>
  </sheetData>
  <mergeCells count="6">
    <mergeCell ref="M4:Q4"/>
    <mergeCell ref="F4:F5"/>
    <mergeCell ref="E4:E5"/>
    <mergeCell ref="D4:D5"/>
    <mergeCell ref="S4:AC4"/>
    <mergeCell ref="G4:K4"/>
  </mergeCells>
  <phoneticPr fontId="2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D2:AK21"/>
  <sheetViews>
    <sheetView showGridLines="0" zoomScale="80" zoomScaleNormal="80" workbookViewId="0">
      <pane xSplit="5" ySplit="4" topLeftCell="F5" activePane="bottomRight" state="frozen"/>
      <selection activeCell="J13" sqref="J13"/>
      <selection pane="topRight" activeCell="J13" sqref="J13"/>
      <selection pane="bottomLeft" activeCell="J13" sqref="J13"/>
      <selection pane="bottomRight" activeCell="AC12" sqref="AC12"/>
    </sheetView>
  </sheetViews>
  <sheetFormatPr defaultColWidth="8.75" defaultRowHeight="18" customHeight="1"/>
  <cols>
    <col min="1" max="3" width="2.375" style="5" customWidth="1"/>
    <col min="4" max="4" width="20.375" style="5" customWidth="1"/>
    <col min="5" max="5" width="31.375" style="5" bestFit="1" customWidth="1"/>
    <col min="6" max="6" width="3.375" style="238" customWidth="1"/>
    <col min="7" max="11" width="20.375" style="5" hidden="1" customWidth="1"/>
    <col min="12" max="12" width="3.375" style="238" hidden="1" customWidth="1"/>
    <col min="13" max="18" width="20.375" style="5" hidden="1" customWidth="1"/>
    <col min="19" max="19" width="3.375" style="238" customWidth="1"/>
    <col min="20" max="25" width="20.375" style="5" customWidth="1"/>
    <col min="26" max="26" width="3.375" style="238" customWidth="1"/>
    <col min="27" max="31" width="20.375" style="5" customWidth="1"/>
    <col min="32" max="32" width="3.375" style="238" customWidth="1"/>
    <col min="33" max="37" width="20.375" style="5" customWidth="1"/>
    <col min="38" max="16384" width="8.75" style="5"/>
  </cols>
  <sheetData>
    <row r="2" spans="4:37" ht="18" customHeight="1" thickBot="1"/>
    <row r="3" spans="4:37" s="8" customFormat="1" ht="18" customHeight="1">
      <c r="D3" s="939" t="s">
        <v>501</v>
      </c>
      <c r="E3" s="942" t="s">
        <v>500</v>
      </c>
      <c r="F3" s="352"/>
      <c r="G3" s="928" t="s">
        <v>526</v>
      </c>
      <c r="H3" s="928"/>
      <c r="I3" s="928"/>
      <c r="J3" s="928"/>
      <c r="K3" s="928"/>
      <c r="L3" s="352"/>
      <c r="M3" s="939" t="s">
        <v>1642</v>
      </c>
      <c r="N3" s="941"/>
      <c r="O3" s="941"/>
      <c r="P3" s="941"/>
      <c r="Q3" s="941"/>
      <c r="R3" s="942"/>
      <c r="S3" s="352"/>
      <c r="T3" s="939" t="s">
        <v>1642</v>
      </c>
      <c r="U3" s="941"/>
      <c r="V3" s="941"/>
      <c r="W3" s="941"/>
      <c r="X3" s="941"/>
      <c r="Y3" s="942"/>
      <c r="Z3" s="352"/>
      <c r="AA3" s="939" t="s">
        <v>528</v>
      </c>
      <c r="AB3" s="941"/>
      <c r="AC3" s="941"/>
      <c r="AD3" s="941"/>
      <c r="AE3" s="942"/>
      <c r="AF3" s="352"/>
      <c r="AG3" s="939" t="s">
        <v>527</v>
      </c>
      <c r="AH3" s="941"/>
      <c r="AI3" s="941"/>
      <c r="AJ3" s="941"/>
      <c r="AK3" s="942"/>
    </row>
    <row r="4" spans="4:37" s="8" customFormat="1" ht="18" customHeight="1">
      <c r="D4" s="940"/>
      <c r="E4" s="943"/>
      <c r="F4" s="352"/>
      <c r="G4" s="353" t="s">
        <v>227</v>
      </c>
      <c r="H4" s="353" t="s">
        <v>464</v>
      </c>
      <c r="I4" s="353" t="s">
        <v>524</v>
      </c>
      <c r="J4" s="353" t="s">
        <v>525</v>
      </c>
      <c r="K4" s="353" t="s">
        <v>493</v>
      </c>
      <c r="L4" s="352"/>
      <c r="M4" s="354" t="s">
        <v>227</v>
      </c>
      <c r="N4" s="322" t="s">
        <v>536</v>
      </c>
      <c r="O4" s="322" t="s">
        <v>537</v>
      </c>
      <c r="P4" s="322" t="s">
        <v>524</v>
      </c>
      <c r="Q4" s="322" t="s">
        <v>525</v>
      </c>
      <c r="R4" s="355" t="s">
        <v>493</v>
      </c>
      <c r="S4" s="352"/>
      <c r="T4" s="354" t="s">
        <v>227</v>
      </c>
      <c r="U4" s="322" t="s">
        <v>536</v>
      </c>
      <c r="V4" s="322" t="s">
        <v>537</v>
      </c>
      <c r="W4" s="322" t="s">
        <v>524</v>
      </c>
      <c r="X4" s="322" t="s">
        <v>525</v>
      </c>
      <c r="Y4" s="355" t="s">
        <v>493</v>
      </c>
      <c r="Z4" s="352"/>
      <c r="AA4" s="354" t="s">
        <v>227</v>
      </c>
      <c r="AB4" s="322" t="s">
        <v>464</v>
      </c>
      <c r="AC4" s="322" t="s">
        <v>524</v>
      </c>
      <c r="AD4" s="322" t="s">
        <v>525</v>
      </c>
      <c r="AE4" s="355" t="s">
        <v>493</v>
      </c>
      <c r="AF4" s="352"/>
      <c r="AG4" s="354" t="s">
        <v>227</v>
      </c>
      <c r="AH4" s="322" t="s">
        <v>464</v>
      </c>
      <c r="AI4" s="322" t="s">
        <v>524</v>
      </c>
      <c r="AJ4" s="322" t="s">
        <v>525</v>
      </c>
      <c r="AK4" s="355" t="s">
        <v>493</v>
      </c>
    </row>
    <row r="5" spans="4:37" ht="18" customHeight="1">
      <c r="D5" s="356">
        <v>1</v>
      </c>
      <c r="E5" s="15" t="s">
        <v>15</v>
      </c>
      <c r="M5" s="357">
        <v>0</v>
      </c>
      <c r="N5" s="7"/>
      <c r="O5" s="7">
        <v>0</v>
      </c>
      <c r="P5" s="7">
        <v>0</v>
      </c>
      <c r="Q5" s="7">
        <v>0</v>
      </c>
      <c r="R5" s="15">
        <v>0</v>
      </c>
      <c r="T5" s="357">
        <f>자본변동!F74</f>
        <v>0</v>
      </c>
      <c r="U5" s="7"/>
      <c r="V5" s="7">
        <v>0</v>
      </c>
      <c r="W5" s="7">
        <f>SUM(T5:V5)</f>
        <v>0</v>
      </c>
      <c r="X5" s="7">
        <f>ROUND(W5*D5,0)</f>
        <v>0</v>
      </c>
      <c r="Y5" s="15">
        <f>W5-X5</f>
        <v>0</v>
      </c>
      <c r="AA5" s="357">
        <f>자본변동!F76</f>
        <v>-38586066</v>
      </c>
      <c r="AB5" s="7"/>
      <c r="AC5" s="7">
        <f>SUM(AA5:AB5)</f>
        <v>-38586066</v>
      </c>
      <c r="AD5" s="7">
        <f>ROUND(AC5*D5,0)</f>
        <v>-38586066</v>
      </c>
      <c r="AE5" s="15">
        <f>AC5-AD5</f>
        <v>0</v>
      </c>
      <c r="AG5" s="357"/>
      <c r="AH5" s="7"/>
      <c r="AI5" s="7"/>
      <c r="AJ5" s="7"/>
      <c r="AK5" s="15"/>
    </row>
    <row r="6" spans="4:37" ht="18" customHeight="1">
      <c r="D6" s="356">
        <v>1</v>
      </c>
      <c r="E6" s="15" t="s">
        <v>510</v>
      </c>
      <c r="M6" s="357">
        <v>-622288388</v>
      </c>
      <c r="N6" s="7"/>
      <c r="O6" s="7"/>
      <c r="P6" s="7">
        <v>-622288388</v>
      </c>
      <c r="Q6" s="7">
        <v>-622288388</v>
      </c>
      <c r="R6" s="15">
        <v>0</v>
      </c>
      <c r="T6" s="357">
        <f>자본변동!G74</f>
        <v>243581200</v>
      </c>
      <c r="U6" s="7"/>
      <c r="V6" s="7"/>
      <c r="W6" s="7">
        <f t="shared" ref="W6:W11" si="0">SUM(T6:V6)</f>
        <v>243581200</v>
      </c>
      <c r="X6" s="7">
        <f t="shared" ref="X6:X11" si="1">ROUND(W6*D6,0)</f>
        <v>243581200</v>
      </c>
      <c r="Y6" s="15">
        <f t="shared" ref="Y6:Y12" si="2">W6-X6</f>
        <v>0</v>
      </c>
      <c r="AA6" s="357">
        <f>-자본변동!G76</f>
        <v>0</v>
      </c>
      <c r="AB6" s="7"/>
      <c r="AC6" s="7">
        <f t="shared" ref="AC6:AC11" si="3">SUM(AA6:AB6)</f>
        <v>0</v>
      </c>
      <c r="AD6" s="7">
        <f t="shared" ref="AD6:AD11" si="4">ROUND(AC6*D6,0)</f>
        <v>0</v>
      </c>
      <c r="AE6" s="15">
        <f t="shared" ref="AE6:AE11" si="5">AC6-AD6</f>
        <v>0</v>
      </c>
      <c r="AG6" s="357"/>
      <c r="AH6" s="7"/>
      <c r="AI6" s="7"/>
      <c r="AJ6" s="7"/>
      <c r="AK6" s="15"/>
    </row>
    <row r="7" spans="4:37" ht="18" customHeight="1">
      <c r="D7" s="356">
        <v>1</v>
      </c>
      <c r="E7" s="15" t="s">
        <v>512</v>
      </c>
      <c r="M7" s="357">
        <v>-78765534</v>
      </c>
      <c r="N7" s="7"/>
      <c r="O7" s="7">
        <v>148309663</v>
      </c>
      <c r="P7" s="7">
        <v>69544129</v>
      </c>
      <c r="Q7" s="7">
        <v>69544129</v>
      </c>
      <c r="R7" s="15">
        <v>0</v>
      </c>
      <c r="T7" s="357"/>
      <c r="U7" s="7"/>
      <c r="V7" s="7"/>
      <c r="W7" s="7">
        <f t="shared" si="0"/>
        <v>0</v>
      </c>
      <c r="X7" s="7">
        <f t="shared" si="1"/>
        <v>0</v>
      </c>
      <c r="Y7" s="15">
        <f t="shared" si="2"/>
        <v>0</v>
      </c>
      <c r="AA7" s="357"/>
      <c r="AB7" s="7"/>
      <c r="AC7" s="7">
        <f t="shared" si="3"/>
        <v>0</v>
      </c>
      <c r="AD7" s="7">
        <f t="shared" si="4"/>
        <v>0</v>
      </c>
      <c r="AE7" s="15">
        <f t="shared" si="5"/>
        <v>0</v>
      </c>
      <c r="AG7" s="357"/>
      <c r="AH7" s="7"/>
      <c r="AI7" s="7"/>
      <c r="AJ7" s="7"/>
      <c r="AK7" s="15"/>
    </row>
    <row r="8" spans="4:37" ht="18" customHeight="1">
      <c r="D8" s="356">
        <v>1</v>
      </c>
      <c r="E8" s="15" t="s">
        <v>514</v>
      </c>
      <c r="M8" s="357">
        <v>-238055993</v>
      </c>
      <c r="N8" s="7"/>
      <c r="O8" s="7"/>
      <c r="P8" s="7">
        <v>-238055993</v>
      </c>
      <c r="Q8" s="7">
        <v>-238055993</v>
      </c>
      <c r="R8" s="15">
        <v>0</v>
      </c>
      <c r="T8" s="357"/>
      <c r="U8" s="7"/>
      <c r="V8" s="7"/>
      <c r="W8" s="7">
        <f t="shared" si="0"/>
        <v>0</v>
      </c>
      <c r="X8" s="7">
        <f t="shared" si="1"/>
        <v>0</v>
      </c>
      <c r="Y8" s="15">
        <f t="shared" si="2"/>
        <v>0</v>
      </c>
      <c r="AA8" s="357"/>
      <c r="AB8" s="7"/>
      <c r="AC8" s="7">
        <f t="shared" si="3"/>
        <v>0</v>
      </c>
      <c r="AD8" s="7">
        <f t="shared" si="4"/>
        <v>0</v>
      </c>
      <c r="AE8" s="15">
        <f t="shared" si="5"/>
        <v>0</v>
      </c>
      <c r="AG8" s="357"/>
      <c r="AH8" s="7"/>
      <c r="AI8" s="7"/>
      <c r="AJ8" s="7"/>
      <c r="AK8" s="15"/>
    </row>
    <row r="9" spans="4:37" ht="18" customHeight="1">
      <c r="D9" s="356">
        <v>1</v>
      </c>
      <c r="E9" s="15" t="s">
        <v>516</v>
      </c>
      <c r="M9" s="357">
        <v>213954410</v>
      </c>
      <c r="N9" s="7">
        <v>1069187616</v>
      </c>
      <c r="O9" s="7">
        <v>175053979</v>
      </c>
      <c r="P9" s="7">
        <v>1458196005</v>
      </c>
      <c r="Q9" s="7">
        <v>1458196005</v>
      </c>
      <c r="R9" s="15">
        <v>0</v>
      </c>
      <c r="T9" s="357">
        <f>자본변동!H74</f>
        <v>5664385</v>
      </c>
      <c r="U9" s="7">
        <f>-'5.0'!P30</f>
        <v>-17460564</v>
      </c>
      <c r="V9" s="7">
        <f>-'5.0'!P12</f>
        <v>134772588</v>
      </c>
      <c r="W9" s="7">
        <f t="shared" si="0"/>
        <v>122976409</v>
      </c>
      <c r="X9" s="7">
        <f t="shared" si="1"/>
        <v>122976409</v>
      </c>
      <c r="Y9" s="15">
        <f t="shared" si="2"/>
        <v>0</v>
      </c>
      <c r="AA9" s="357">
        <f>-자본변동!H76</f>
        <v>0</v>
      </c>
      <c r="AB9" s="7"/>
      <c r="AC9" s="7">
        <f t="shared" si="3"/>
        <v>0</v>
      </c>
      <c r="AD9" s="7">
        <f t="shared" si="4"/>
        <v>0</v>
      </c>
      <c r="AE9" s="15">
        <f t="shared" si="5"/>
        <v>0</v>
      </c>
      <c r="AG9" s="357"/>
      <c r="AH9" s="7"/>
      <c r="AI9" s="7"/>
      <c r="AJ9" s="7"/>
      <c r="AK9" s="15"/>
    </row>
    <row r="10" spans="4:37" ht="18" customHeight="1">
      <c r="D10" s="356">
        <v>1</v>
      </c>
      <c r="E10" s="15" t="s">
        <v>517</v>
      </c>
      <c r="M10" s="357">
        <v>0</v>
      </c>
      <c r="N10" s="7">
        <v>0</v>
      </c>
      <c r="O10" s="7"/>
      <c r="P10" s="7">
        <v>0</v>
      </c>
      <c r="Q10" s="7">
        <v>0</v>
      </c>
      <c r="R10" s="15">
        <v>0</v>
      </c>
      <c r="T10" s="357"/>
      <c r="U10" s="7">
        <v>0</v>
      </c>
      <c r="V10" s="7"/>
      <c r="W10" s="7">
        <f t="shared" si="0"/>
        <v>0</v>
      </c>
      <c r="X10" s="7">
        <f t="shared" si="1"/>
        <v>0</v>
      </c>
      <c r="Y10" s="15">
        <f t="shared" si="2"/>
        <v>0</v>
      </c>
      <c r="AA10" s="357"/>
      <c r="AB10" s="7"/>
      <c r="AC10" s="7">
        <f t="shared" si="3"/>
        <v>0</v>
      </c>
      <c r="AD10" s="7">
        <f t="shared" si="4"/>
        <v>0</v>
      </c>
      <c r="AE10" s="15">
        <f t="shared" si="5"/>
        <v>0</v>
      </c>
      <c r="AG10" s="357"/>
      <c r="AH10" s="7"/>
      <c r="AI10" s="7"/>
      <c r="AJ10" s="7"/>
      <c r="AK10" s="15"/>
    </row>
    <row r="11" spans="4:37" ht="18" customHeight="1">
      <c r="D11" s="356">
        <v>1</v>
      </c>
      <c r="E11" s="15" t="s">
        <v>519</v>
      </c>
      <c r="M11" s="357">
        <v>0</v>
      </c>
      <c r="N11" s="7"/>
      <c r="O11" s="7"/>
      <c r="P11" s="7">
        <v>0</v>
      </c>
      <c r="Q11" s="7">
        <v>0</v>
      </c>
      <c r="R11" s="15">
        <v>0</v>
      </c>
      <c r="T11" s="357"/>
      <c r="U11" s="7"/>
      <c r="V11" s="7"/>
      <c r="W11" s="7">
        <f t="shared" si="0"/>
        <v>0</v>
      </c>
      <c r="X11" s="7">
        <f t="shared" si="1"/>
        <v>0</v>
      </c>
      <c r="Y11" s="15">
        <f t="shared" si="2"/>
        <v>0</v>
      </c>
      <c r="AA11" s="357">
        <v>0</v>
      </c>
      <c r="AB11" s="7"/>
      <c r="AC11" s="7">
        <f t="shared" si="3"/>
        <v>0</v>
      </c>
      <c r="AD11" s="7">
        <f t="shared" si="4"/>
        <v>0</v>
      </c>
      <c r="AE11" s="15">
        <f t="shared" si="5"/>
        <v>0</v>
      </c>
      <c r="AG11" s="357"/>
      <c r="AH11" s="7"/>
      <c r="AI11" s="7"/>
      <c r="AJ11" s="7"/>
      <c r="AK11" s="15"/>
    </row>
    <row r="12" spans="4:37" s="4" customFormat="1" ht="18" customHeight="1" thickBot="1">
      <c r="D12" s="358"/>
      <c r="E12" s="359"/>
      <c r="F12" s="360"/>
      <c r="L12" s="360"/>
      <c r="M12" s="358">
        <v>-725155505</v>
      </c>
      <c r="N12" s="361">
        <v>1069187616</v>
      </c>
      <c r="O12" s="361">
        <v>323363642</v>
      </c>
      <c r="P12" s="361">
        <v>667395753</v>
      </c>
      <c r="Q12" s="361">
        <v>667395753</v>
      </c>
      <c r="R12" s="17">
        <v>0</v>
      </c>
      <c r="S12" s="360"/>
      <c r="T12" s="358">
        <f>SUM(T5:T11)</f>
        <v>249245585</v>
      </c>
      <c r="U12" s="361">
        <f>SUM(U5:U11)</f>
        <v>-17460564</v>
      </c>
      <c r="V12" s="361">
        <f>SUM(V5:V11)</f>
        <v>134772588</v>
      </c>
      <c r="W12" s="361">
        <f>SUM(W5:W11)</f>
        <v>366557609</v>
      </c>
      <c r="X12" s="361">
        <f>SUM(X5:X11)</f>
        <v>366557609</v>
      </c>
      <c r="Y12" s="17">
        <f t="shared" si="2"/>
        <v>0</v>
      </c>
      <c r="Z12" s="360"/>
      <c r="AA12" s="358">
        <f>SUM(AA5:AA11)</f>
        <v>-38586066</v>
      </c>
      <c r="AB12" s="361">
        <f>SUM(AB5:AB11)</f>
        <v>0</v>
      </c>
      <c r="AC12" s="361">
        <f>SUM(AC5:AC11)</f>
        <v>-38586066</v>
      </c>
      <c r="AD12" s="361">
        <f>SUM(AD5:AD11)</f>
        <v>-38586066</v>
      </c>
      <c r="AE12" s="359">
        <f>SUM(AE5:AE11)</f>
        <v>0</v>
      </c>
      <c r="AF12" s="360"/>
      <c r="AG12" s="358"/>
      <c r="AH12" s="361"/>
      <c r="AI12" s="361"/>
      <c r="AJ12" s="361"/>
      <c r="AK12" s="359"/>
    </row>
    <row r="13" spans="4:37" s="4" customFormat="1" ht="18" customHeight="1">
      <c r="F13" s="360"/>
      <c r="L13" s="360"/>
      <c r="S13" s="360"/>
      <c r="Z13" s="360"/>
      <c r="AF13" s="360"/>
    </row>
    <row r="14" spans="4:37" s="4" customFormat="1" ht="18" customHeight="1">
      <c r="F14" s="360"/>
      <c r="L14" s="360"/>
      <c r="P14" s="4" t="s">
        <v>525</v>
      </c>
      <c r="Q14" s="4">
        <f>T_CE!E22</f>
        <v>0</v>
      </c>
      <c r="R14" s="8"/>
      <c r="S14" s="360"/>
      <c r="W14" s="4" t="s">
        <v>525</v>
      </c>
      <c r="X14" s="4">
        <f>T_CE!M22</f>
        <v>366557609</v>
      </c>
      <c r="Y14" s="8"/>
      <c r="Z14" s="360"/>
      <c r="AF14" s="360"/>
    </row>
    <row r="15" spans="4:37" s="4" customFormat="1" ht="18" customHeight="1">
      <c r="F15" s="360"/>
      <c r="L15" s="360"/>
      <c r="P15" s="4" t="s">
        <v>1874</v>
      </c>
      <c r="Q15" s="4">
        <f>Q14-Q12</f>
        <v>-667395753</v>
      </c>
      <c r="S15" s="360"/>
      <c r="W15" s="4" t="s">
        <v>1874</v>
      </c>
      <c r="X15" s="4">
        <f>X14-X12</f>
        <v>0</v>
      </c>
      <c r="Z15" s="360"/>
      <c r="AF15" s="360"/>
    </row>
    <row r="16" spans="4:37" s="4" customFormat="1" ht="18" customHeight="1">
      <c r="F16" s="360"/>
      <c r="L16" s="360"/>
      <c r="S16" s="360"/>
      <c r="Z16" s="360"/>
      <c r="AF16" s="360"/>
    </row>
    <row r="17" spans="24:33" ht="18" customHeight="1">
      <c r="X17" s="5">
        <f>X15/2</f>
        <v>0</v>
      </c>
      <c r="Z17" s="5"/>
      <c r="AA17" s="238"/>
      <c r="AF17" s="5"/>
      <c r="AG17" s="238"/>
    </row>
    <row r="18" spans="24:33" ht="18" customHeight="1">
      <c r="Z18" s="5"/>
      <c r="AA18" s="238"/>
      <c r="AF18" s="5"/>
      <c r="AG18" s="238"/>
    </row>
    <row r="19" spans="24:33" ht="18" customHeight="1">
      <c r="Z19" s="5"/>
      <c r="AA19" s="238"/>
      <c r="AF19" s="5"/>
      <c r="AG19" s="238"/>
    </row>
    <row r="20" spans="24:33" ht="18" customHeight="1">
      <c r="Z20" s="5"/>
      <c r="AA20" s="238"/>
      <c r="AF20" s="5"/>
      <c r="AG20" s="238"/>
    </row>
    <row r="21" spans="24:33" ht="18" customHeight="1">
      <c r="Z21" s="5"/>
      <c r="AA21" s="238"/>
      <c r="AF21" s="5"/>
      <c r="AG21" s="238"/>
    </row>
  </sheetData>
  <mergeCells count="7">
    <mergeCell ref="D3:D4"/>
    <mergeCell ref="G3:K3"/>
    <mergeCell ref="T3:Y3"/>
    <mergeCell ref="AA3:AE3"/>
    <mergeCell ref="AG3:AK3"/>
    <mergeCell ref="E3:E4"/>
    <mergeCell ref="M3:R3"/>
  </mergeCells>
  <phoneticPr fontId="20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D3:U24"/>
  <sheetViews>
    <sheetView showGridLines="0" zoomScale="80" zoomScaleNormal="80" workbookViewId="0">
      <pane xSplit="6" ySplit="4" topLeftCell="G5" activePane="bottomRight" state="frozen"/>
      <selection activeCell="J13" sqref="J13"/>
      <selection pane="topRight" activeCell="J13" sqref="J13"/>
      <selection pane="bottomLeft" activeCell="J13" sqref="J13"/>
      <selection pane="bottomRight" activeCell="N25" sqref="N25"/>
    </sheetView>
  </sheetViews>
  <sheetFormatPr defaultColWidth="8.75" defaultRowHeight="18" customHeight="1"/>
  <cols>
    <col min="1" max="3" width="2.375" style="341" customWidth="1"/>
    <col min="4" max="21" width="16" style="341" customWidth="1"/>
    <col min="22" max="16384" width="8.75" style="341"/>
  </cols>
  <sheetData>
    <row r="3" spans="4:21" ht="18" customHeight="1" thickBot="1"/>
    <row r="4" spans="4:21" ht="30.95" customHeight="1">
      <c r="D4" s="342" t="s">
        <v>559</v>
      </c>
      <c r="E4" s="343" t="s">
        <v>560</v>
      </c>
      <c r="F4" s="343" t="s">
        <v>561</v>
      </c>
      <c r="G4" s="343" t="s">
        <v>562</v>
      </c>
      <c r="H4" s="343" t="s">
        <v>563</v>
      </c>
      <c r="I4" s="343" t="s">
        <v>564</v>
      </c>
      <c r="J4" s="343" t="s">
        <v>565</v>
      </c>
      <c r="K4" s="343" t="s">
        <v>566</v>
      </c>
      <c r="L4" s="343" t="s">
        <v>567</v>
      </c>
      <c r="M4" s="343" t="s">
        <v>568</v>
      </c>
      <c r="N4" s="343" t="s">
        <v>569</v>
      </c>
      <c r="O4" s="343" t="s">
        <v>570</v>
      </c>
      <c r="P4" s="343" t="s">
        <v>571</v>
      </c>
      <c r="Q4" s="343" t="s">
        <v>572</v>
      </c>
      <c r="R4" s="343" t="s">
        <v>573</v>
      </c>
      <c r="S4" s="343" t="s">
        <v>574</v>
      </c>
      <c r="T4" s="343" t="s">
        <v>575</v>
      </c>
      <c r="U4" s="344" t="s">
        <v>576</v>
      </c>
    </row>
    <row r="5" spans="4:21" ht="18" customHeight="1">
      <c r="D5" s="345" t="s">
        <v>577</v>
      </c>
      <c r="E5" s="7" t="s">
        <v>578</v>
      </c>
      <c r="F5" s="7">
        <f>T_BS!H220</f>
        <v>96598050530</v>
      </c>
      <c r="G5" s="7">
        <v>0</v>
      </c>
      <c r="H5" s="7">
        <v>0</v>
      </c>
      <c r="I5" s="7">
        <v>0</v>
      </c>
      <c r="J5" s="7">
        <v>0</v>
      </c>
      <c r="K5" s="7">
        <f>SUM(F5:J5)</f>
        <v>96598050530</v>
      </c>
      <c r="L5" s="346">
        <v>0</v>
      </c>
      <c r="M5" s="7">
        <f t="shared" ref="M5:M10" si="0">K5*L5</f>
        <v>0</v>
      </c>
      <c r="N5" s="7"/>
      <c r="O5" s="7"/>
      <c r="P5" s="7">
        <f t="shared" ref="P5:P11" si="1">N5-O5</f>
        <v>0</v>
      </c>
      <c r="Q5" s="7"/>
      <c r="R5" s="7">
        <f>P5*Q5</f>
        <v>0</v>
      </c>
      <c r="S5" s="7">
        <f>M5-R5</f>
        <v>0</v>
      </c>
      <c r="T5" s="7">
        <f>T_BS!H241</f>
        <v>0</v>
      </c>
      <c r="U5" s="347">
        <f>S5+T5</f>
        <v>0</v>
      </c>
    </row>
    <row r="6" spans="4:21" ht="18" customHeight="1">
      <c r="D6" s="345" t="s">
        <v>15</v>
      </c>
      <c r="E6" s="7" t="s">
        <v>217</v>
      </c>
      <c r="F6" s="7">
        <f>T_BS!I220</f>
        <v>-245646986</v>
      </c>
      <c r="G6" s="7">
        <v>0</v>
      </c>
      <c r="H6" s="7">
        <v>0</v>
      </c>
      <c r="I6" s="7">
        <v>0</v>
      </c>
      <c r="J6" s="7">
        <v>0</v>
      </c>
      <c r="K6" s="7">
        <f t="shared" ref="K6:K11" si="2">SUM(F6:J6)</f>
        <v>-245646986</v>
      </c>
      <c r="L6" s="346">
        <f>1-SCOPE!K5</f>
        <v>0</v>
      </c>
      <c r="M6" s="7">
        <f t="shared" si="0"/>
        <v>0</v>
      </c>
      <c r="N6" s="7">
        <v>3443881577</v>
      </c>
      <c r="O6" s="7"/>
      <c r="P6" s="7">
        <f t="shared" si="1"/>
        <v>3443881577</v>
      </c>
      <c r="Q6" s="7">
        <f t="shared" ref="Q6:Q11" si="3">$L$5</f>
        <v>0</v>
      </c>
      <c r="R6" s="7">
        <f t="shared" ref="R6:R11" si="4">P6*Q6</f>
        <v>0</v>
      </c>
      <c r="S6" s="7">
        <f t="shared" ref="S6:S11" si="5">M6-R6</f>
        <v>0</v>
      </c>
      <c r="T6" s="7">
        <f>T_BS!I241</f>
        <v>0</v>
      </c>
      <c r="U6" s="347">
        <f t="shared" ref="U6:U11" si="6">S6+T6</f>
        <v>0</v>
      </c>
    </row>
    <row r="7" spans="4:21" ht="18" customHeight="1">
      <c r="D7" s="345" t="s">
        <v>15</v>
      </c>
      <c r="E7" s="7" t="s">
        <v>213</v>
      </c>
      <c r="F7" s="7"/>
      <c r="G7" s="7">
        <v>0</v>
      </c>
      <c r="H7" s="7">
        <v>0</v>
      </c>
      <c r="I7" s="7">
        <v>0</v>
      </c>
      <c r="J7" s="7">
        <v>0</v>
      </c>
      <c r="K7" s="7">
        <f t="shared" si="2"/>
        <v>0</v>
      </c>
      <c r="L7" s="346">
        <f>1-SCOPE!K6</f>
        <v>0</v>
      </c>
      <c r="M7" s="7">
        <f t="shared" si="0"/>
        <v>0</v>
      </c>
      <c r="N7" s="7">
        <v>0</v>
      </c>
      <c r="O7" s="7"/>
      <c r="P7" s="7">
        <f t="shared" si="1"/>
        <v>0</v>
      </c>
      <c r="Q7" s="7">
        <f t="shared" si="3"/>
        <v>0</v>
      </c>
      <c r="R7" s="7">
        <f t="shared" si="4"/>
        <v>0</v>
      </c>
      <c r="S7" s="7">
        <f t="shared" si="5"/>
        <v>0</v>
      </c>
      <c r="T7" s="7"/>
      <c r="U7" s="347">
        <f t="shared" si="6"/>
        <v>0</v>
      </c>
    </row>
    <row r="8" spans="4:21" ht="18" customHeight="1">
      <c r="D8" s="345" t="s">
        <v>15</v>
      </c>
      <c r="E8" s="7" t="s">
        <v>214</v>
      </c>
      <c r="F8" s="7"/>
      <c r="G8" s="7">
        <v>0</v>
      </c>
      <c r="H8" s="7">
        <v>0</v>
      </c>
      <c r="I8" s="7">
        <v>0</v>
      </c>
      <c r="J8" s="7">
        <v>0</v>
      </c>
      <c r="K8" s="7">
        <f t="shared" si="2"/>
        <v>0</v>
      </c>
      <c r="L8" s="346">
        <f>1-SCOPE!K7</f>
        <v>0</v>
      </c>
      <c r="M8" s="7">
        <f t="shared" si="0"/>
        <v>0</v>
      </c>
      <c r="N8" s="7"/>
      <c r="O8" s="7"/>
      <c r="P8" s="7">
        <f t="shared" si="1"/>
        <v>0</v>
      </c>
      <c r="Q8" s="7">
        <f t="shared" si="3"/>
        <v>0</v>
      </c>
      <c r="R8" s="7">
        <f t="shared" si="4"/>
        <v>0</v>
      </c>
      <c r="S8" s="7">
        <f t="shared" si="5"/>
        <v>0</v>
      </c>
      <c r="T8" s="7"/>
      <c r="U8" s="347">
        <f t="shared" si="6"/>
        <v>0</v>
      </c>
    </row>
    <row r="9" spans="4:21" ht="18" customHeight="1">
      <c r="D9" s="345" t="s">
        <v>15</v>
      </c>
      <c r="E9" s="7" t="s">
        <v>215</v>
      </c>
      <c r="F9" s="7">
        <f>T_BS!J220</f>
        <v>3391663241</v>
      </c>
      <c r="G9" s="7">
        <v>0</v>
      </c>
      <c r="H9" s="7">
        <v>0</v>
      </c>
      <c r="I9" s="7">
        <v>0</v>
      </c>
      <c r="J9" s="7">
        <v>0</v>
      </c>
      <c r="K9" s="7">
        <f t="shared" si="2"/>
        <v>3391663241</v>
      </c>
      <c r="L9" s="346">
        <f>1-SCOPE!K8</f>
        <v>0</v>
      </c>
      <c r="M9" s="7">
        <f t="shared" si="0"/>
        <v>0</v>
      </c>
      <c r="N9" s="7">
        <v>29999999995</v>
      </c>
      <c r="O9" s="7">
        <f>'5.2'!AT18</f>
        <v>0</v>
      </c>
      <c r="P9" s="7">
        <f t="shared" si="1"/>
        <v>29999999995</v>
      </c>
      <c r="Q9" s="7">
        <f t="shared" si="3"/>
        <v>0</v>
      </c>
      <c r="R9" s="7">
        <f t="shared" si="4"/>
        <v>0</v>
      </c>
      <c r="S9" s="7">
        <f t="shared" si="5"/>
        <v>0</v>
      </c>
      <c r="T9" s="7">
        <f>T_BS!J241</f>
        <v>0</v>
      </c>
      <c r="U9" s="347">
        <f t="shared" si="6"/>
        <v>0</v>
      </c>
    </row>
    <row r="10" spans="4:21" ht="18" customHeight="1">
      <c r="D10" s="345" t="s">
        <v>15</v>
      </c>
      <c r="E10" s="7" t="s">
        <v>531</v>
      </c>
      <c r="F10" s="7"/>
      <c r="G10" s="7">
        <v>0</v>
      </c>
      <c r="H10" s="7">
        <v>0</v>
      </c>
      <c r="I10" s="7">
        <v>0</v>
      </c>
      <c r="J10" s="7">
        <v>0</v>
      </c>
      <c r="K10" s="7">
        <f t="shared" si="2"/>
        <v>0</v>
      </c>
      <c r="L10" s="346">
        <f>1-SCOPE!K9</f>
        <v>1</v>
      </c>
      <c r="M10" s="7">
        <f t="shared" si="0"/>
        <v>0</v>
      </c>
      <c r="N10" s="7"/>
      <c r="O10" s="7"/>
      <c r="P10" s="7">
        <f t="shared" si="1"/>
        <v>0</v>
      </c>
      <c r="Q10" s="7">
        <f t="shared" si="3"/>
        <v>0</v>
      </c>
      <c r="R10" s="7">
        <f t="shared" si="4"/>
        <v>0</v>
      </c>
      <c r="S10" s="7">
        <f t="shared" si="5"/>
        <v>0</v>
      </c>
      <c r="T10" s="7"/>
      <c r="U10" s="347">
        <f t="shared" si="6"/>
        <v>0</v>
      </c>
    </row>
    <row r="11" spans="4:21" ht="18" customHeight="1" thickBot="1">
      <c r="D11" s="345" t="s">
        <v>15</v>
      </c>
      <c r="E11" s="7" t="s">
        <v>216</v>
      </c>
      <c r="F11" s="7"/>
      <c r="G11" s="7">
        <v>0</v>
      </c>
      <c r="H11" s="7">
        <v>0</v>
      </c>
      <c r="I11" s="7">
        <v>0</v>
      </c>
      <c r="J11" s="7">
        <v>0</v>
      </c>
      <c r="K11" s="7">
        <f t="shared" si="2"/>
        <v>0</v>
      </c>
      <c r="L11" s="346">
        <f>1-SCOPE!K10</f>
        <v>0</v>
      </c>
      <c r="M11" s="7"/>
      <c r="N11" s="7"/>
      <c r="O11" s="7"/>
      <c r="P11" s="7">
        <f t="shared" si="1"/>
        <v>0</v>
      </c>
      <c r="Q11" s="7">
        <f t="shared" si="3"/>
        <v>0</v>
      </c>
      <c r="R11" s="7">
        <f t="shared" si="4"/>
        <v>0</v>
      </c>
      <c r="S11" s="7">
        <f t="shared" si="5"/>
        <v>0</v>
      </c>
      <c r="T11" s="7"/>
      <c r="U11" s="347">
        <f t="shared" si="6"/>
        <v>0</v>
      </c>
    </row>
    <row r="12" spans="4:21" ht="18" customHeight="1" thickBot="1">
      <c r="D12" s="348"/>
      <c r="E12" s="349"/>
      <c r="F12" s="349">
        <f>SUM(F5:F11)</f>
        <v>99744066785</v>
      </c>
      <c r="G12" s="349">
        <f t="shared" ref="G12:U12" si="7">SUM(G5:G11)</f>
        <v>0</v>
      </c>
      <c r="H12" s="349">
        <f t="shared" si="7"/>
        <v>0</v>
      </c>
      <c r="I12" s="349">
        <f t="shared" si="7"/>
        <v>0</v>
      </c>
      <c r="J12" s="349">
        <f t="shared" si="7"/>
        <v>0</v>
      </c>
      <c r="K12" s="349">
        <f t="shared" si="7"/>
        <v>99744066785</v>
      </c>
      <c r="L12" s="349">
        <f t="shared" si="7"/>
        <v>1</v>
      </c>
      <c r="M12" s="349">
        <f t="shared" si="7"/>
        <v>0</v>
      </c>
      <c r="N12" s="349">
        <f t="shared" si="7"/>
        <v>33443881572</v>
      </c>
      <c r="O12" s="349">
        <f t="shared" si="7"/>
        <v>0</v>
      </c>
      <c r="P12" s="349">
        <f t="shared" si="7"/>
        <v>33443881572</v>
      </c>
      <c r="Q12" s="349">
        <f t="shared" si="7"/>
        <v>0</v>
      </c>
      <c r="R12" s="349">
        <f t="shared" si="7"/>
        <v>0</v>
      </c>
      <c r="S12" s="349">
        <f t="shared" si="7"/>
        <v>0</v>
      </c>
      <c r="T12" s="349">
        <f t="shared" si="7"/>
        <v>0</v>
      </c>
      <c r="U12" s="350">
        <f t="shared" si="7"/>
        <v>0</v>
      </c>
    </row>
    <row r="14" spans="4:21" ht="18" customHeight="1">
      <c r="N14" s="351"/>
    </row>
    <row r="15" spans="4:21" ht="18" customHeight="1">
      <c r="N15" s="351"/>
    </row>
    <row r="23" spans="13:13" ht="18" customHeight="1">
      <c r="M23" s="351"/>
    </row>
    <row r="24" spans="13:13" ht="18" customHeight="1">
      <c r="M24" s="351"/>
    </row>
  </sheetData>
  <phoneticPr fontId="20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>
    <tabColor rgb="FF002060"/>
  </sheetPr>
  <dimension ref="C4:Q32"/>
  <sheetViews>
    <sheetView showGridLines="0" zoomScale="80" zoomScaleNormal="80" workbookViewId="0">
      <selection activeCell="F29" sqref="F29"/>
    </sheetView>
  </sheetViews>
  <sheetFormatPr defaultColWidth="9" defaultRowHeight="18" customHeight="1"/>
  <cols>
    <col min="1" max="3" width="2.375" style="219" customWidth="1"/>
    <col min="4" max="4" width="4" style="219" customWidth="1"/>
    <col min="5" max="5" width="26.25" style="219" customWidth="1"/>
    <col min="6" max="17" width="16.375" style="219" customWidth="1"/>
    <col min="18" max="18" width="15.375" style="219" customWidth="1"/>
    <col min="19" max="19" width="15.125" style="219" customWidth="1"/>
    <col min="20" max="20" width="15.375" style="219" bestFit="1" customWidth="1"/>
    <col min="21" max="21" width="16.375" style="219" bestFit="1" customWidth="1"/>
    <col min="22" max="22" width="17.375" style="219" customWidth="1"/>
    <col min="23" max="16384" width="9" style="219"/>
  </cols>
  <sheetData>
    <row r="4" spans="3:14" ht="18" customHeight="1" thickBot="1">
      <c r="C4" s="219">
        <v>1</v>
      </c>
      <c r="D4" s="219" t="s">
        <v>580</v>
      </c>
    </row>
    <row r="5" spans="3:14" s="319" customFormat="1" ht="18" customHeight="1">
      <c r="E5" s="944" t="s">
        <v>581</v>
      </c>
      <c r="F5" s="946" t="s">
        <v>582</v>
      </c>
      <c r="G5" s="946" t="s">
        <v>583</v>
      </c>
      <c r="H5" s="946"/>
      <c r="I5" s="946"/>
      <c r="J5" s="320"/>
      <c r="K5" s="320"/>
      <c r="L5" s="946" t="s">
        <v>584</v>
      </c>
      <c r="M5" s="946"/>
      <c r="N5" s="321"/>
    </row>
    <row r="6" spans="3:14" s="319" customFormat="1" ht="18" customHeight="1">
      <c r="E6" s="945"/>
      <c r="F6" s="938"/>
      <c r="G6" s="322" t="s">
        <v>585</v>
      </c>
      <c r="H6" s="322" t="s">
        <v>586</v>
      </c>
      <c r="I6" s="322" t="s">
        <v>587</v>
      </c>
      <c r="J6" s="322" t="s">
        <v>588</v>
      </c>
      <c r="K6" s="322" t="s">
        <v>589</v>
      </c>
      <c r="L6" s="322" t="s">
        <v>590</v>
      </c>
      <c r="M6" s="322" t="s">
        <v>579</v>
      </c>
      <c r="N6" s="323" t="s">
        <v>591</v>
      </c>
    </row>
    <row r="7" spans="3:14" ht="18" customHeight="1">
      <c r="D7" s="324"/>
      <c r="E7" s="230" t="s">
        <v>1985</v>
      </c>
      <c r="F7" s="325">
        <f>T_IS!H124</f>
        <v>-18548422530</v>
      </c>
      <c r="G7" s="325">
        <v>0</v>
      </c>
      <c r="H7" s="325">
        <v>0</v>
      </c>
      <c r="I7" s="325">
        <v>0</v>
      </c>
      <c r="J7" s="325">
        <f>SUM(F7:I7)</f>
        <v>-18548422530</v>
      </c>
      <c r="K7" s="326">
        <f>NCE!L5</f>
        <v>0</v>
      </c>
      <c r="L7" s="325">
        <v>0</v>
      </c>
      <c r="M7" s="325"/>
      <c r="N7" s="327">
        <f t="shared" ref="N7:N13" si="0">ROUND(J7*(K7),)+ROUND(L7+M7,)</f>
        <v>0</v>
      </c>
    </row>
    <row r="8" spans="3:14" ht="18" customHeight="1">
      <c r="D8" s="324"/>
      <c r="E8" s="230" t="s">
        <v>217</v>
      </c>
      <c r="F8" s="325">
        <f>T_IS!I124</f>
        <v>-1991551811</v>
      </c>
      <c r="G8" s="325">
        <v>0</v>
      </c>
      <c r="H8" s="325">
        <v>0</v>
      </c>
      <c r="I8" s="325">
        <v>0</v>
      </c>
      <c r="J8" s="325">
        <f>SUM(F8:I8)</f>
        <v>-1991551811</v>
      </c>
      <c r="K8" s="326">
        <f>NCE!L6</f>
        <v>0</v>
      </c>
      <c r="L8" s="325">
        <v>0</v>
      </c>
      <c r="M8" s="325"/>
      <c r="N8" s="327">
        <f t="shared" si="0"/>
        <v>0</v>
      </c>
    </row>
    <row r="9" spans="3:14" ht="18" customHeight="1">
      <c r="D9" s="324"/>
      <c r="E9" s="230" t="s">
        <v>213</v>
      </c>
      <c r="F9" s="325"/>
      <c r="G9" s="325">
        <v>0</v>
      </c>
      <c r="H9" s="325">
        <v>0</v>
      </c>
      <c r="I9" s="325">
        <v>0</v>
      </c>
      <c r="J9" s="325">
        <f>SUM(F9:I9)</f>
        <v>0</v>
      </c>
      <c r="K9" s="326">
        <f>NCE!L7</f>
        <v>0</v>
      </c>
      <c r="L9" s="325">
        <v>0</v>
      </c>
      <c r="M9" s="325"/>
      <c r="N9" s="327">
        <f t="shared" si="0"/>
        <v>0</v>
      </c>
    </row>
    <row r="10" spans="3:14" ht="18" customHeight="1">
      <c r="D10" s="324"/>
      <c r="E10" s="230" t="s">
        <v>214</v>
      </c>
      <c r="F10" s="325"/>
      <c r="G10" s="325">
        <v>0</v>
      </c>
      <c r="H10" s="325">
        <v>0</v>
      </c>
      <c r="I10" s="325">
        <v>0</v>
      </c>
      <c r="J10" s="325">
        <f>SUM(F10:I10)</f>
        <v>0</v>
      </c>
      <c r="K10" s="326">
        <f>NCE!L8</f>
        <v>0</v>
      </c>
      <c r="L10" s="325">
        <v>0</v>
      </c>
      <c r="M10" s="325"/>
      <c r="N10" s="327">
        <f t="shared" si="0"/>
        <v>0</v>
      </c>
    </row>
    <row r="11" spans="3:14" ht="18" customHeight="1">
      <c r="D11" s="324"/>
      <c r="E11" s="230" t="s">
        <v>215</v>
      </c>
      <c r="F11" s="325">
        <f>T_IS!J124</f>
        <v>-937553701</v>
      </c>
      <c r="G11" s="325">
        <v>0</v>
      </c>
      <c r="H11" s="325">
        <v>0</v>
      </c>
      <c r="I11" s="325">
        <v>0</v>
      </c>
      <c r="J11" s="325">
        <f>SUM(F11:I11)</f>
        <v>-937553701</v>
      </c>
      <c r="K11" s="326">
        <f>NCE!L9</f>
        <v>0</v>
      </c>
      <c r="L11" s="325">
        <v>0</v>
      </c>
      <c r="M11" s="325"/>
      <c r="N11" s="327">
        <f t="shared" si="0"/>
        <v>0</v>
      </c>
    </row>
    <row r="12" spans="3:14" ht="18" customHeight="1">
      <c r="D12" s="324"/>
      <c r="E12" s="230" t="s">
        <v>531</v>
      </c>
      <c r="F12" s="325">
        <v>0</v>
      </c>
      <c r="G12" s="325">
        <f>'2.0'!F32</f>
        <v>0</v>
      </c>
      <c r="H12" s="325">
        <v>0</v>
      </c>
      <c r="I12" s="325">
        <v>0</v>
      </c>
      <c r="J12" s="325">
        <f>SUM(G12:I12)</f>
        <v>0</v>
      </c>
      <c r="K12" s="326">
        <v>0</v>
      </c>
      <c r="L12" s="325">
        <v>0</v>
      </c>
      <c r="M12" s="325"/>
      <c r="N12" s="327">
        <f t="shared" si="0"/>
        <v>0</v>
      </c>
    </row>
    <row r="13" spans="3:14" ht="18" customHeight="1" thickBot="1">
      <c r="D13" s="324"/>
      <c r="E13" s="230" t="s">
        <v>216</v>
      </c>
      <c r="F13" s="325"/>
      <c r="G13" s="325">
        <v>0</v>
      </c>
      <c r="H13" s="325">
        <v>0</v>
      </c>
      <c r="I13" s="325">
        <v>0</v>
      </c>
      <c r="J13" s="325">
        <f>SUM(F13:I13)</f>
        <v>0</v>
      </c>
      <c r="K13" s="326">
        <f>NCE!L11</f>
        <v>0</v>
      </c>
      <c r="L13" s="325">
        <v>0</v>
      </c>
      <c r="M13" s="325"/>
      <c r="N13" s="327">
        <f t="shared" si="0"/>
        <v>0</v>
      </c>
    </row>
    <row r="14" spans="3:14" ht="18" customHeight="1" thickBot="1">
      <c r="E14" s="328" t="s">
        <v>592</v>
      </c>
      <c r="F14" s="329">
        <f>SUM(F7:F13)</f>
        <v>-21477528042</v>
      </c>
      <c r="G14" s="329">
        <f>SUM(G7:G13)</f>
        <v>0</v>
      </c>
      <c r="H14" s="329">
        <f>SUM(H7:H13)</f>
        <v>0</v>
      </c>
      <c r="I14" s="329">
        <f>SUM(I7:I13)</f>
        <v>0</v>
      </c>
      <c r="J14" s="329">
        <f>SUM(J7:J13)</f>
        <v>-21477528042</v>
      </c>
      <c r="K14" s="329"/>
      <c r="L14" s="329"/>
      <c r="M14" s="329"/>
      <c r="N14" s="330">
        <f>SUM(N7:N13)</f>
        <v>0</v>
      </c>
    </row>
    <row r="15" spans="3:14" ht="18" customHeight="1">
      <c r="E15" s="331" t="s">
        <v>593</v>
      </c>
      <c r="F15" s="219">
        <f>T_IS!K124</f>
        <v>-21477528042</v>
      </c>
      <c r="L15" s="219">
        <v>0</v>
      </c>
    </row>
    <row r="16" spans="3:14" ht="18" customHeight="1">
      <c r="E16" s="331" t="s">
        <v>594</v>
      </c>
      <c r="F16" s="219">
        <f>F14-F15</f>
        <v>0</v>
      </c>
      <c r="L16" s="219">
        <f>L14-L15</f>
        <v>0</v>
      </c>
    </row>
    <row r="18" spans="3:17" ht="18" customHeight="1" thickBot="1">
      <c r="C18" s="219">
        <v>2</v>
      </c>
      <c r="D18" s="219" t="s">
        <v>595</v>
      </c>
    </row>
    <row r="19" spans="3:17" ht="18" customHeight="1" thickBot="1">
      <c r="E19" s="332" t="s">
        <v>581</v>
      </c>
      <c r="F19" s="333" t="s">
        <v>596</v>
      </c>
      <c r="G19" s="333" t="s">
        <v>597</v>
      </c>
      <c r="H19" s="333" t="s">
        <v>598</v>
      </c>
      <c r="I19" s="333" t="s">
        <v>599</v>
      </c>
      <c r="J19" s="333" t="s">
        <v>600</v>
      </c>
      <c r="K19" s="333" t="s">
        <v>601</v>
      </c>
      <c r="L19" s="333" t="s">
        <v>602</v>
      </c>
      <c r="M19" s="333" t="s">
        <v>603</v>
      </c>
      <c r="N19" s="333" t="s">
        <v>604</v>
      </c>
      <c r="O19" s="333" t="s">
        <v>605</v>
      </c>
      <c r="P19" s="333" t="s">
        <v>606</v>
      </c>
      <c r="Q19" s="334" t="s">
        <v>607</v>
      </c>
    </row>
    <row r="20" spans="3:17" ht="18" customHeight="1">
      <c r="E20" s="230" t="s">
        <v>1985</v>
      </c>
      <c r="F20" s="325">
        <v>0</v>
      </c>
      <c r="G20" s="325">
        <f t="shared" ref="G20:G26" si="1">N7</f>
        <v>0</v>
      </c>
      <c r="H20" s="325">
        <v>0</v>
      </c>
      <c r="I20" s="325">
        <v>0</v>
      </c>
      <c r="J20" s="325">
        <v>0</v>
      </c>
      <c r="K20" s="325">
        <v>0</v>
      </c>
      <c r="L20" s="325">
        <v>0</v>
      </c>
      <c r="M20" s="325">
        <v>0</v>
      </c>
      <c r="N20" s="325">
        <v>0</v>
      </c>
      <c r="O20" s="325">
        <v>0</v>
      </c>
      <c r="P20" s="325">
        <f t="shared" ref="P20:P26" si="2">SUM(F20:O20)</f>
        <v>0</v>
      </c>
      <c r="Q20" s="327">
        <f>NCE!U5</f>
        <v>0</v>
      </c>
    </row>
    <row r="21" spans="3:17" ht="18" customHeight="1">
      <c r="E21" s="230" t="s">
        <v>217</v>
      </c>
      <c r="F21" s="325">
        <v>0</v>
      </c>
      <c r="G21" s="325">
        <f t="shared" si="1"/>
        <v>0</v>
      </c>
      <c r="H21" s="325">
        <v>0</v>
      </c>
      <c r="I21" s="325">
        <v>0</v>
      </c>
      <c r="J21" s="325">
        <v>0</v>
      </c>
      <c r="K21" s="325">
        <v>0</v>
      </c>
      <c r="L21" s="325">
        <v>0</v>
      </c>
      <c r="M21" s="325">
        <v>0</v>
      </c>
      <c r="N21" s="325">
        <v>0</v>
      </c>
      <c r="O21" s="325">
        <v>0</v>
      </c>
      <c r="P21" s="325">
        <f t="shared" si="2"/>
        <v>0</v>
      </c>
      <c r="Q21" s="327">
        <f>NCE!U6</f>
        <v>0</v>
      </c>
    </row>
    <row r="22" spans="3:17" ht="18" customHeight="1">
      <c r="E22" s="230" t="s">
        <v>213</v>
      </c>
      <c r="F22" s="325">
        <v>0</v>
      </c>
      <c r="G22" s="325">
        <f t="shared" si="1"/>
        <v>0</v>
      </c>
      <c r="H22" s="325">
        <v>0</v>
      </c>
      <c r="I22" s="325">
        <v>0</v>
      </c>
      <c r="J22" s="325">
        <v>0</v>
      </c>
      <c r="K22" s="325">
        <v>0</v>
      </c>
      <c r="L22" s="325">
        <v>0</v>
      </c>
      <c r="M22" s="325">
        <v>0</v>
      </c>
      <c r="N22" s="325">
        <v>0</v>
      </c>
      <c r="O22" s="325">
        <v>0</v>
      </c>
      <c r="P22" s="325">
        <f t="shared" si="2"/>
        <v>0</v>
      </c>
      <c r="Q22" s="327">
        <f>NCE!U7</f>
        <v>0</v>
      </c>
    </row>
    <row r="23" spans="3:17" ht="18" customHeight="1">
      <c r="E23" s="230" t="s">
        <v>214</v>
      </c>
      <c r="F23" s="325">
        <v>0</v>
      </c>
      <c r="G23" s="325">
        <f t="shared" si="1"/>
        <v>0</v>
      </c>
      <c r="H23" s="325">
        <v>0</v>
      </c>
      <c r="I23" s="325">
        <v>0</v>
      </c>
      <c r="J23" s="325">
        <v>0</v>
      </c>
      <c r="K23" s="325">
        <v>0</v>
      </c>
      <c r="L23" s="325">
        <v>0</v>
      </c>
      <c r="M23" s="325">
        <v>0</v>
      </c>
      <c r="N23" s="325">
        <v>0</v>
      </c>
      <c r="O23" s="325">
        <v>0</v>
      </c>
      <c r="P23" s="325">
        <f t="shared" si="2"/>
        <v>0</v>
      </c>
      <c r="Q23" s="327">
        <f>NCE!U8</f>
        <v>0</v>
      </c>
    </row>
    <row r="24" spans="3:17" ht="18" customHeight="1">
      <c r="E24" s="230" t="s">
        <v>215</v>
      </c>
      <c r="F24" s="325">
        <v>0</v>
      </c>
      <c r="G24" s="325">
        <f t="shared" si="1"/>
        <v>0</v>
      </c>
      <c r="H24" s="325">
        <v>0</v>
      </c>
      <c r="I24" s="325">
        <v>0</v>
      </c>
      <c r="J24" s="325">
        <v>0</v>
      </c>
      <c r="K24" s="325">
        <v>0</v>
      </c>
      <c r="L24" s="325">
        <v>0</v>
      </c>
      <c r="M24" s="325">
        <v>0</v>
      </c>
      <c r="N24" s="325">
        <v>0</v>
      </c>
      <c r="O24" s="325">
        <v>0</v>
      </c>
      <c r="P24" s="325">
        <f t="shared" si="2"/>
        <v>0</v>
      </c>
      <c r="Q24" s="327">
        <f>NCE!U9</f>
        <v>0</v>
      </c>
    </row>
    <row r="25" spans="3:17" ht="18" customHeight="1">
      <c r="E25" s="230" t="s">
        <v>531</v>
      </c>
      <c r="F25" s="325">
        <v>0</v>
      </c>
      <c r="G25" s="325">
        <f t="shared" si="1"/>
        <v>0</v>
      </c>
      <c r="H25" s="325">
        <v>0</v>
      </c>
      <c r="I25" s="325">
        <v>0</v>
      </c>
      <c r="J25" s="325">
        <v>0</v>
      </c>
      <c r="K25" s="325">
        <v>0</v>
      </c>
      <c r="L25" s="325">
        <v>0</v>
      </c>
      <c r="M25" s="325">
        <v>0</v>
      </c>
      <c r="N25" s="325">
        <v>0</v>
      </c>
      <c r="O25" s="325">
        <v>0</v>
      </c>
      <c r="P25" s="325">
        <f t="shared" si="2"/>
        <v>0</v>
      </c>
      <c r="Q25" s="327">
        <f>NCE!U10</f>
        <v>0</v>
      </c>
    </row>
    <row r="26" spans="3:17" ht="18" customHeight="1" thickBot="1">
      <c r="E26" s="335" t="s">
        <v>216</v>
      </c>
      <c r="F26" s="336">
        <v>0</v>
      </c>
      <c r="G26" s="325">
        <f t="shared" si="1"/>
        <v>0</v>
      </c>
      <c r="H26" s="336">
        <v>0</v>
      </c>
      <c r="I26" s="336">
        <v>0</v>
      </c>
      <c r="J26" s="336">
        <v>0</v>
      </c>
      <c r="K26" s="336">
        <v>0</v>
      </c>
      <c r="L26" s="336">
        <v>0</v>
      </c>
      <c r="M26" s="336">
        <v>0</v>
      </c>
      <c r="N26" s="336">
        <v>0</v>
      </c>
      <c r="O26" s="336">
        <v>0</v>
      </c>
      <c r="P26" s="325">
        <f t="shared" si="2"/>
        <v>0</v>
      </c>
      <c r="Q26" s="327">
        <f>NCE!U11</f>
        <v>0</v>
      </c>
    </row>
    <row r="27" spans="3:17" ht="18" customHeight="1" thickBot="1">
      <c r="E27" s="337"/>
      <c r="F27" s="329">
        <f t="shared" ref="F27:Q27" si="3">SUM(F20:F26)</f>
        <v>0</v>
      </c>
      <c r="G27" s="329">
        <f t="shared" si="3"/>
        <v>0</v>
      </c>
      <c r="H27" s="329">
        <f t="shared" si="3"/>
        <v>0</v>
      </c>
      <c r="I27" s="329">
        <f t="shared" si="3"/>
        <v>0</v>
      </c>
      <c r="J27" s="329">
        <f>SUM(J20:J26)</f>
        <v>0</v>
      </c>
      <c r="K27" s="329">
        <f>SUM(K20:K26)</f>
        <v>0</v>
      </c>
      <c r="L27" s="329">
        <f t="shared" si="3"/>
        <v>0</v>
      </c>
      <c r="M27" s="329">
        <f t="shared" si="3"/>
        <v>0</v>
      </c>
      <c r="N27" s="329">
        <f t="shared" si="3"/>
        <v>0</v>
      </c>
      <c r="O27" s="329">
        <f t="shared" si="3"/>
        <v>0</v>
      </c>
      <c r="P27" s="329">
        <f t="shared" si="3"/>
        <v>0</v>
      </c>
      <c r="Q27" s="330">
        <f t="shared" si="3"/>
        <v>0</v>
      </c>
    </row>
    <row r="28" spans="3:17" ht="18" customHeight="1">
      <c r="H28" s="338"/>
      <c r="J28" s="338"/>
      <c r="K28" s="338"/>
      <c r="M28" s="331"/>
    </row>
    <row r="29" spans="3:17" ht="18" customHeight="1">
      <c r="E29" s="219" t="s">
        <v>608</v>
      </c>
      <c r="F29" s="219">
        <v>-23067872601</v>
      </c>
    </row>
    <row r="30" spans="3:17" ht="18" customHeight="1">
      <c r="E30" s="219" t="s">
        <v>609</v>
      </c>
      <c r="F30" s="219">
        <f>F29-G27</f>
        <v>-23067872601</v>
      </c>
    </row>
    <row r="31" spans="3:17" ht="18" customHeight="1" thickBot="1">
      <c r="E31" s="219" t="s">
        <v>610</v>
      </c>
    </row>
    <row r="32" spans="3:17" ht="18" customHeight="1" thickBot="1">
      <c r="E32" s="339"/>
      <c r="F32" s="340">
        <f>SUM(F30:F31)</f>
        <v>-23067872601</v>
      </c>
    </row>
  </sheetData>
  <mergeCells count="4">
    <mergeCell ref="E5:E6"/>
    <mergeCell ref="F5:F6"/>
    <mergeCell ref="G5:I5"/>
    <mergeCell ref="L5:M5"/>
  </mergeCells>
  <phoneticPr fontId="20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>
    <tabColor theme="5" tint="0.39997558519241921"/>
  </sheetPr>
  <dimension ref="D3:J86"/>
  <sheetViews>
    <sheetView showGridLines="0" zoomScale="85" zoomScaleNormal="85" workbookViewId="0">
      <pane xSplit="4" ySplit="4" topLeftCell="E17" activePane="bottomRight" state="frozen"/>
      <selection activeCell="J21" sqref="J21"/>
      <selection pane="topRight" activeCell="J21" sqref="J21"/>
      <selection pane="bottomLeft" activeCell="J21" sqref="J21"/>
      <selection pane="bottomRight" activeCell="K18" sqref="K18"/>
    </sheetView>
  </sheetViews>
  <sheetFormatPr defaultColWidth="8.75" defaultRowHeight="18" customHeight="1"/>
  <cols>
    <col min="1" max="3" width="2.375" style="3" customWidth="1"/>
    <col min="4" max="4" width="35.875" style="3" bestFit="1" customWidth="1"/>
    <col min="5" max="5" width="35.875" style="3" customWidth="1"/>
    <col min="6" max="9" width="22.25" style="5" customWidth="1"/>
    <col min="10" max="10" width="15.625" style="3" bestFit="1" customWidth="1"/>
    <col min="11" max="12" width="14.375" style="3" customWidth="1"/>
    <col min="13" max="16384" width="8.75" style="3"/>
  </cols>
  <sheetData>
    <row r="3" spans="4:10" s="2" customFormat="1" ht="18" customHeight="1" thickBot="1">
      <c r="F3" s="4"/>
      <c r="G3" s="163" t="b">
        <f>'BS(공)'!G7=G84</f>
        <v>0</v>
      </c>
      <c r="H3" s="4"/>
      <c r="I3" s="4"/>
    </row>
    <row r="4" spans="4:10" ht="18" customHeight="1">
      <c r="D4" s="164" t="s">
        <v>1530</v>
      </c>
      <c r="E4" s="165" t="s">
        <v>17</v>
      </c>
      <c r="F4" s="947" t="s">
        <v>2024</v>
      </c>
      <c r="G4" s="948"/>
      <c r="H4" s="947" t="s">
        <v>1885</v>
      </c>
      <c r="I4" s="949"/>
    </row>
    <row r="5" spans="4:10" s="2" customFormat="1" ht="18" customHeight="1">
      <c r="D5" s="166" t="s">
        <v>1393</v>
      </c>
      <c r="E5" s="167"/>
      <c r="F5" s="168"/>
      <c r="G5" s="168">
        <f>SUM(F6,F50:F52)</f>
        <v>13351169234</v>
      </c>
      <c r="H5" s="168"/>
      <c r="I5" s="169">
        <f>SUM(H6,H50:H52)</f>
        <v>13641616776</v>
      </c>
      <c r="J5" s="4"/>
    </row>
    <row r="6" spans="4:10" s="2" customFormat="1" ht="18" customHeight="1">
      <c r="D6" s="170" t="s">
        <v>1394</v>
      </c>
      <c r="E6" s="171"/>
      <c r="F6" s="172">
        <f>SUM(F7:F8,F39)</f>
        <v>13703993395</v>
      </c>
      <c r="G6" s="172"/>
      <c r="H6" s="172">
        <f>SUM(H7:H8,H39)</f>
        <v>13994440937</v>
      </c>
      <c r="I6" s="173"/>
    </row>
    <row r="7" spans="4:10" s="2" customFormat="1" ht="18" customHeight="1">
      <c r="D7" s="174" t="s">
        <v>1886</v>
      </c>
      <c r="E7" s="175"/>
      <c r="F7" s="176">
        <f>'CF(공)_1.0'!F8</f>
        <v>-23067872601</v>
      </c>
      <c r="G7" s="176"/>
      <c r="H7" s="176">
        <v>-21314253571</v>
      </c>
      <c r="I7" s="177"/>
      <c r="J7" s="2" t="b">
        <f>'IS(공)'!G19=F7</f>
        <v>1</v>
      </c>
    </row>
    <row r="8" spans="4:10" s="2" customFormat="1" ht="18" customHeight="1">
      <c r="D8" s="174" t="s">
        <v>1531</v>
      </c>
      <c r="E8" s="175"/>
      <c r="F8" s="176">
        <f>SUM(F9:F38)</f>
        <v>20433472934</v>
      </c>
      <c r="G8" s="176"/>
      <c r="H8" s="176">
        <f>SUM(H9:H38)</f>
        <v>30137381117</v>
      </c>
      <c r="I8" s="177"/>
      <c r="J8" s="4">
        <f>F8-'CF(공)_1.0'!F9</f>
        <v>-1012691176</v>
      </c>
    </row>
    <row r="9" spans="4:10" ht="18" customHeight="1">
      <c r="D9" s="178" t="s">
        <v>380</v>
      </c>
      <c r="E9" s="179" t="s">
        <v>380</v>
      </c>
      <c r="F9" s="180">
        <f>ROUND(SUMIF('CF(공)_1.0'!$E:$E,'CF(공)_2.0'!E9,'CF(공)_1.0'!$F:$F),0)</f>
        <v>-1980322895</v>
      </c>
      <c r="G9" s="180"/>
      <c r="H9" s="180">
        <v>727208752</v>
      </c>
      <c r="I9" s="181"/>
    </row>
    <row r="10" spans="4:10" ht="18" customHeight="1">
      <c r="D10" s="178" t="s">
        <v>262</v>
      </c>
      <c r="E10" s="179" t="s">
        <v>262</v>
      </c>
      <c r="F10" s="180">
        <f>ROUND(SUMIF('CF(공)_1.0'!$E:$E,'CF(공)_2.0'!E10,'CF(공)_1.0'!$F:$F),0)</f>
        <v>1681402629</v>
      </c>
      <c r="G10" s="180"/>
      <c r="H10" s="180">
        <v>903714587</v>
      </c>
      <c r="I10" s="181"/>
    </row>
    <row r="11" spans="4:10" ht="18" customHeight="1">
      <c r="D11" s="178" t="s">
        <v>489</v>
      </c>
      <c r="E11" s="179" t="s">
        <v>489</v>
      </c>
      <c r="F11" s="180">
        <f>ROUND(SUMIF('CF(공)_1.0'!$E:$E,'CF(공)_2.0'!E11,'CF(공)_1.0'!$F:$F),0)</f>
        <v>3307331285</v>
      </c>
      <c r="G11" s="180"/>
      <c r="H11" s="180">
        <v>968110787</v>
      </c>
      <c r="I11" s="181"/>
    </row>
    <row r="12" spans="4:10" ht="18" customHeight="1">
      <c r="D12" s="178" t="s">
        <v>386</v>
      </c>
      <c r="E12" s="179" t="s">
        <v>386</v>
      </c>
      <c r="F12" s="180">
        <f>ROUND(SUMIF('CF(공)_1.0'!$E:$E,'CF(공)_2.0'!E12,'CF(공)_1.0'!$F:$F),0)</f>
        <v>6564079983</v>
      </c>
      <c r="G12" s="180"/>
      <c r="H12" s="180">
        <v>6624197748</v>
      </c>
      <c r="I12" s="181"/>
    </row>
    <row r="13" spans="4:10" ht="18" customHeight="1">
      <c r="D13" s="178" t="s">
        <v>760</v>
      </c>
      <c r="E13" s="179" t="s">
        <v>760</v>
      </c>
      <c r="F13" s="180">
        <f>ROUND(SUMIF('CF(공)_1.0'!$E:$E,'CF(공)_2.0'!E13,'CF(공)_1.0'!$F:$F),0)</f>
        <v>624260187</v>
      </c>
      <c r="G13" s="180"/>
      <c r="H13" s="180">
        <v>0</v>
      </c>
      <c r="I13" s="181"/>
    </row>
    <row r="14" spans="4:10" ht="18" customHeight="1">
      <c r="D14" s="178" t="s">
        <v>1461</v>
      </c>
      <c r="E14" s="179" t="s">
        <v>1461</v>
      </c>
      <c r="F14" s="180">
        <f>ROUND(SUMIF('CF(공)_1.0'!$E:$E,'CF(공)_2.0'!E14,'CF(공)_1.0'!$F:$F),0)</f>
        <v>-28983221</v>
      </c>
      <c r="G14" s="180"/>
      <c r="H14" s="180">
        <v>650257159</v>
      </c>
      <c r="I14" s="181"/>
    </row>
    <row r="15" spans="4:10" ht="18" customHeight="1">
      <c r="D15" s="178" t="s">
        <v>1884</v>
      </c>
      <c r="E15" s="179" t="s">
        <v>1884</v>
      </c>
      <c r="F15" s="180">
        <f>ROUND(SUMIF('CF(공)_1.0'!$E:$E,'CF(공)_2.0'!E15,'CF(공)_1.0'!$F:$F),0)</f>
        <v>4200000000</v>
      </c>
      <c r="G15" s="180"/>
      <c r="H15" s="180">
        <v>0</v>
      </c>
      <c r="I15" s="181"/>
    </row>
    <row r="16" spans="4:10" ht="18" customHeight="1">
      <c r="D16" s="178" t="s">
        <v>1459</v>
      </c>
      <c r="E16" s="179" t="s">
        <v>1459</v>
      </c>
      <c r="F16" s="180">
        <f>ROUND(SUMIF('CF(공)_1.0'!$E:$E,'CF(공)_2.0'!E16,'CF(공)_1.0'!$F:$F),0)</f>
        <v>0</v>
      </c>
      <c r="G16" s="180"/>
      <c r="H16" s="180">
        <v>0</v>
      </c>
      <c r="I16" s="181"/>
    </row>
    <row r="17" spans="4:9" ht="18" customHeight="1">
      <c r="D17" s="178" t="s">
        <v>1460</v>
      </c>
      <c r="E17" s="179" t="s">
        <v>1460</v>
      </c>
      <c r="F17" s="180">
        <f>ROUND(SUMIF('CF(공)_1.0'!$E:$E,'CF(공)_2.0'!E17,'CF(공)_1.0'!$F:$F),0)</f>
        <v>-41664330</v>
      </c>
      <c r="G17" s="180"/>
      <c r="H17" s="180">
        <v>0</v>
      </c>
      <c r="I17" s="181"/>
    </row>
    <row r="18" spans="4:9" ht="18" customHeight="1">
      <c r="D18" s="178" t="s">
        <v>1462</v>
      </c>
      <c r="E18" s="179" t="s">
        <v>1462</v>
      </c>
      <c r="F18" s="180">
        <f>ROUND(SUMIF('CF(공)_1.0'!$E:$E,'CF(공)_2.0'!E18,'CF(공)_1.0'!$F:$F),0)</f>
        <v>15816486</v>
      </c>
      <c r="G18" s="180"/>
      <c r="H18" s="180">
        <v>7832710</v>
      </c>
      <c r="I18" s="181"/>
    </row>
    <row r="19" spans="4:9" ht="18" customHeight="1">
      <c r="D19" s="178" t="s">
        <v>1847</v>
      </c>
      <c r="E19" s="179" t="s">
        <v>1847</v>
      </c>
      <c r="F19" s="180">
        <f>ROUND(SUMIF('CF(공)_1.0'!$E:$E,'CF(공)_2.0'!E19,'CF(공)_1.0'!$F:$F),0)</f>
        <v>0</v>
      </c>
      <c r="G19" s="180"/>
      <c r="H19" s="180">
        <v>0</v>
      </c>
      <c r="I19" s="181"/>
    </row>
    <row r="20" spans="4:9" ht="18" customHeight="1">
      <c r="D20" s="178" t="s">
        <v>740</v>
      </c>
      <c r="E20" s="179" t="s">
        <v>740</v>
      </c>
      <c r="F20" s="180">
        <f>ROUND(SUMIF('CF(공)_1.0'!$E:$E,'CF(공)_2.0'!E20,'CF(공)_1.0'!$F:$F),0)</f>
        <v>-2123496016</v>
      </c>
      <c r="G20" s="180"/>
      <c r="H20" s="180">
        <v>3018808147</v>
      </c>
      <c r="I20" s="181"/>
    </row>
    <row r="21" spans="4:9" ht="18" customHeight="1">
      <c r="D21" s="178" t="s">
        <v>682</v>
      </c>
      <c r="E21" s="179" t="s">
        <v>682</v>
      </c>
      <c r="F21" s="180">
        <f>ROUND(SUMIF('CF(공)_1.0'!$E:$E,'CF(공)_2.0'!E21,'CF(공)_1.0'!$F:$F),0)</f>
        <v>172075657</v>
      </c>
      <c r="G21" s="180"/>
      <c r="H21" s="180">
        <v>421425170</v>
      </c>
      <c r="I21" s="181"/>
    </row>
    <row r="22" spans="4:9" ht="18" customHeight="1">
      <c r="D22" s="178" t="s">
        <v>684</v>
      </c>
      <c r="E22" s="179" t="s">
        <v>684</v>
      </c>
      <c r="F22" s="180">
        <f>ROUND(SUMIF('CF(공)_1.0'!$E:$E,'CF(공)_2.0'!E22,'CF(공)_1.0'!$F:$F),0)</f>
        <v>2170624184</v>
      </c>
      <c r="G22" s="180"/>
      <c r="H22" s="180">
        <v>120370359</v>
      </c>
      <c r="I22" s="181"/>
    </row>
    <row r="23" spans="4:9" ht="18" customHeight="1">
      <c r="D23" s="178" t="s">
        <v>734</v>
      </c>
      <c r="E23" s="179" t="s">
        <v>734</v>
      </c>
      <c r="F23" s="180">
        <f>ROUND(SUMIF('CF(공)_1.0'!$E:$E,'CF(공)_2.0'!E23,'CF(공)_1.0'!$F:$F),0)</f>
        <v>0</v>
      </c>
      <c r="G23" s="180"/>
      <c r="H23" s="180">
        <v>0</v>
      </c>
      <c r="I23" s="181"/>
    </row>
    <row r="24" spans="4:9" ht="18" customHeight="1">
      <c r="D24" s="178" t="s">
        <v>736</v>
      </c>
      <c r="E24" s="179" t="s">
        <v>736</v>
      </c>
      <c r="F24" s="180">
        <f>ROUND(SUMIF('CF(공)_1.0'!$E:$E,'CF(공)_2.0'!E24,'CF(공)_1.0'!$F:$F),0)</f>
        <v>598158</v>
      </c>
      <c r="G24" s="180"/>
      <c r="H24" s="180">
        <v>0</v>
      </c>
      <c r="I24" s="181"/>
    </row>
    <row r="25" spans="4:9" ht="18" customHeight="1">
      <c r="D25" s="178" t="s">
        <v>687</v>
      </c>
      <c r="E25" s="179" t="s">
        <v>687</v>
      </c>
      <c r="F25" s="180">
        <f>ROUND(SUMIF('CF(공)_1.0'!$E:$E,'CF(공)_2.0'!E25,'CF(공)_1.0'!$F:$F),0)</f>
        <v>5548640215</v>
      </c>
      <c r="G25" s="180"/>
      <c r="H25" s="180">
        <v>18961996554</v>
      </c>
      <c r="I25" s="181"/>
    </row>
    <row r="26" spans="4:9" ht="18" customHeight="1">
      <c r="D26" s="178" t="s">
        <v>482</v>
      </c>
      <c r="E26" s="179" t="s">
        <v>482</v>
      </c>
      <c r="F26" s="180">
        <f>ROUND(SUMIF('CF(공)_1.0'!$E:$E,'CF(공)_2.0'!E26,'CF(공)_1.0'!$F:$F),0)</f>
        <v>0</v>
      </c>
      <c r="G26" s="180"/>
      <c r="H26" s="180">
        <v>27763957</v>
      </c>
      <c r="I26" s="181"/>
    </row>
    <row r="27" spans="4:9" ht="18" customHeight="1">
      <c r="D27" s="178" t="s">
        <v>688</v>
      </c>
      <c r="E27" s="179" t="s">
        <v>688</v>
      </c>
      <c r="F27" s="180">
        <f>ROUND(SUMIF('CF(공)_1.0'!$E:$E,'CF(공)_2.0'!E27,'CF(공)_1.0'!$F:$F),0)</f>
        <v>1000</v>
      </c>
      <c r="G27" s="180"/>
      <c r="H27" s="180">
        <v>8137014</v>
      </c>
      <c r="I27" s="181"/>
    </row>
    <row r="28" spans="4:9" ht="18" customHeight="1">
      <c r="D28" s="178" t="s">
        <v>674</v>
      </c>
      <c r="E28" s="179" t="s">
        <v>674</v>
      </c>
      <c r="F28" s="180">
        <f>ROUND(SUMIF('CF(공)_1.0'!$E:$E,'CF(공)_2.0'!E28,'CF(공)_1.0'!$F:$F),0)</f>
        <v>-595479755</v>
      </c>
      <c r="G28" s="180"/>
      <c r="H28" s="180">
        <v>-924728239</v>
      </c>
      <c r="I28" s="181"/>
    </row>
    <row r="29" spans="4:9" ht="18" customHeight="1">
      <c r="D29" s="178" t="s">
        <v>676</v>
      </c>
      <c r="E29" s="179" t="s">
        <v>676</v>
      </c>
      <c r="F29" s="180">
        <f>ROUND(SUMIF('CF(공)_1.0'!$E:$E,'CF(공)_2.0'!E29,'CF(공)_1.0'!$F:$F),0)</f>
        <v>-48978076</v>
      </c>
      <c r="G29" s="180"/>
      <c r="H29" s="180">
        <v>-336870792</v>
      </c>
      <c r="I29" s="181"/>
    </row>
    <row r="30" spans="4:9" ht="18" customHeight="1">
      <c r="D30" s="178" t="s">
        <v>883</v>
      </c>
      <c r="E30" s="179" t="s">
        <v>883</v>
      </c>
      <c r="F30" s="180">
        <f>ROUND(SUMIF('CF(공)_1.0'!$E:$E,'CF(공)_2.0'!E30,'CF(공)_1.0'!$F:$F),0)</f>
        <v>0</v>
      </c>
      <c r="G30" s="180"/>
      <c r="H30" s="180">
        <v>0</v>
      </c>
      <c r="I30" s="181"/>
    </row>
    <row r="31" spans="4:9" ht="18" customHeight="1">
      <c r="D31" s="178" t="s">
        <v>1463</v>
      </c>
      <c r="E31" s="179" t="s">
        <v>1463</v>
      </c>
      <c r="F31" s="180">
        <f>ROUND(SUMIF('CF(공)_1.0'!$E:$E,'CF(공)_2.0'!E31,'CF(공)_1.0'!$F:$F),0)</f>
        <v>0</v>
      </c>
      <c r="G31" s="180"/>
      <c r="H31" s="180">
        <v>-46435516</v>
      </c>
      <c r="I31" s="181"/>
    </row>
    <row r="32" spans="4:9" ht="18" customHeight="1">
      <c r="D32" s="178" t="s">
        <v>1464</v>
      </c>
      <c r="E32" s="179" t="s">
        <v>1464</v>
      </c>
      <c r="F32" s="180">
        <f>ROUND(SUMIF('CF(공)_1.0'!$E:$E,'CF(공)_2.0'!E32,'CF(공)_1.0'!$F:$F),0)</f>
        <v>0</v>
      </c>
      <c r="G32" s="180"/>
      <c r="H32" s="180">
        <v>-3474243</v>
      </c>
      <c r="I32" s="181"/>
    </row>
    <row r="33" spans="4:9" ht="18" customHeight="1">
      <c r="D33" s="178" t="s">
        <v>1465</v>
      </c>
      <c r="E33" s="179" t="s">
        <v>1465</v>
      </c>
      <c r="F33" s="180">
        <f>ROUND(SUMIF('CF(공)_1.0'!$E:$E,'CF(공)_2.0'!E33,'CF(공)_1.0'!$F:$F),0)</f>
        <v>996359683</v>
      </c>
      <c r="G33" s="180"/>
      <c r="H33" s="180">
        <v>21976536</v>
      </c>
      <c r="I33" s="181"/>
    </row>
    <row r="34" spans="4:9" ht="18" customHeight="1">
      <c r="D34" s="178" t="s">
        <v>679</v>
      </c>
      <c r="E34" s="179" t="s">
        <v>679</v>
      </c>
      <c r="F34" s="180">
        <f>ROUND(SUMIF('CF(공)_1.0'!$E:$E,'CF(공)_2.0'!E34,'CF(공)_1.0'!$F:$F),0)</f>
        <v>-2240200</v>
      </c>
      <c r="G34" s="180"/>
      <c r="H34" s="180">
        <v>-6012061</v>
      </c>
      <c r="I34" s="181"/>
    </row>
    <row r="35" spans="4:9" ht="18" customHeight="1">
      <c r="D35" s="178" t="s">
        <v>680</v>
      </c>
      <c r="E35" s="179" t="s">
        <v>680</v>
      </c>
      <c r="F35" s="180">
        <f>ROUND(SUMIF('CF(공)_1.0'!$E:$E,'CF(공)_2.0'!E35,'CF(공)_1.0'!$F:$F),0)</f>
        <v>0</v>
      </c>
      <c r="G35" s="180"/>
      <c r="H35" s="180">
        <v>-6897512</v>
      </c>
      <c r="I35" s="181"/>
    </row>
    <row r="36" spans="4:9" ht="18" customHeight="1">
      <c r="D36" s="178" t="s">
        <v>1842</v>
      </c>
      <c r="E36" s="179" t="s">
        <v>1842</v>
      </c>
      <c r="F36" s="180">
        <f>ROUND(SUMIF('CF(공)_1.0'!$E:$E,'CF(공)_2.0'!E36,'CF(공)_1.0'!$F:$F),0)</f>
        <v>0</v>
      </c>
      <c r="G36" s="180"/>
      <c r="H36" s="180">
        <v>0</v>
      </c>
      <c r="I36" s="181"/>
    </row>
    <row r="37" spans="4:9" ht="18" customHeight="1">
      <c r="D37" s="178" t="s">
        <v>1520</v>
      </c>
      <c r="E37" s="179" t="s">
        <v>1520</v>
      </c>
      <c r="F37" s="180">
        <f>ROUND(SUMIF('CF(공)_1.0'!$E:$E,'CF(공)_2.0'!E37,'CF(공)_1.0'!$F:$F),0)</f>
        <v>0</v>
      </c>
      <c r="G37" s="180"/>
      <c r="H37" s="180">
        <v>0</v>
      </c>
      <c r="I37" s="181"/>
    </row>
    <row r="38" spans="4:9" ht="18" customHeight="1">
      <c r="D38" s="178" t="s">
        <v>2023</v>
      </c>
      <c r="E38" s="179" t="s">
        <v>903</v>
      </c>
      <c r="F38" s="180">
        <f>ROUND(SUMIF('CF(공)_1.0'!$E:$E,'CF(공)_2.0'!E38,'CF(공)_1.0'!$F:$F),0)</f>
        <v>-26552040</v>
      </c>
      <c r="G38" s="180"/>
      <c r="H38" s="180">
        <v>-1000000000</v>
      </c>
      <c r="I38" s="181"/>
    </row>
    <row r="39" spans="4:9" s="2" customFormat="1" ht="18" customHeight="1">
      <c r="D39" s="174" t="s">
        <v>1466</v>
      </c>
      <c r="E39" s="175"/>
      <c r="F39" s="176">
        <f>SUM(F40:F49)</f>
        <v>16338393062</v>
      </c>
      <c r="G39" s="176"/>
      <c r="H39" s="176">
        <f>SUM(H40:H49)</f>
        <v>5171313391</v>
      </c>
      <c r="I39" s="177"/>
    </row>
    <row r="40" spans="4:9" ht="18" customHeight="1">
      <c r="D40" s="178" t="s">
        <v>1467</v>
      </c>
      <c r="E40" s="179" t="s">
        <v>1467</v>
      </c>
      <c r="F40" s="180">
        <f>ROUND(SUMIF('CF(공)_1.0'!$E:$E,'CF(공)_2.0'!E40,'CF(공)_1.0'!$F:$F),0)</f>
        <v>4621956912</v>
      </c>
      <c r="G40" s="180"/>
      <c r="H40" s="180">
        <v>-9662593697</v>
      </c>
      <c r="I40" s="181"/>
    </row>
    <row r="41" spans="4:9" ht="18" customHeight="1">
      <c r="D41" s="178" t="s">
        <v>1468</v>
      </c>
      <c r="E41" s="179" t="s">
        <v>1468</v>
      </c>
      <c r="F41" s="180">
        <f>ROUND(SUMIF('CF(공)_1.0'!$E:$E,'CF(공)_2.0'!E41,'CF(공)_1.0'!$F:$F),0)</f>
        <v>-12441359886</v>
      </c>
      <c r="G41" s="180"/>
      <c r="H41" s="180">
        <v>-4567827388</v>
      </c>
      <c r="I41" s="181"/>
    </row>
    <row r="42" spans="4:9" ht="18" customHeight="1">
      <c r="D42" s="178" t="s">
        <v>1469</v>
      </c>
      <c r="E42" s="179" t="s">
        <v>1469</v>
      </c>
      <c r="F42" s="180">
        <f>ROUND(SUMIF('CF(공)_1.0'!$E:$E,'CF(공)_2.0'!E42,'CF(공)_1.0'!$F:$F),0)</f>
        <v>-567874466</v>
      </c>
      <c r="G42" s="180"/>
      <c r="H42" s="180">
        <v>120496256</v>
      </c>
      <c r="I42" s="181"/>
    </row>
    <row r="43" spans="4:9" ht="18" customHeight="1">
      <c r="D43" s="178" t="s">
        <v>1470</v>
      </c>
      <c r="E43" s="179" t="s">
        <v>1470</v>
      </c>
      <c r="F43" s="180">
        <f>ROUND(SUMIF('CF(공)_1.0'!$E:$E,'CF(공)_2.0'!E43,'CF(공)_1.0'!$F:$F),0)</f>
        <v>3609608055</v>
      </c>
      <c r="G43" s="180"/>
      <c r="H43" s="180">
        <v>-4423441156</v>
      </c>
      <c r="I43" s="181"/>
    </row>
    <row r="44" spans="4:9" ht="18" customHeight="1">
      <c r="D44" s="178" t="s">
        <v>1897</v>
      </c>
      <c r="E44" s="179" t="s">
        <v>1897</v>
      </c>
      <c r="F44" s="180">
        <f>ROUND(SUMIF('CF(공)_1.0'!$E:$E,'CF(공)_2.0'!E44,'CF(공)_1.0'!$F:$F),0)</f>
        <v>0</v>
      </c>
      <c r="G44" s="180"/>
      <c r="H44" s="180"/>
      <c r="I44" s="181"/>
    </row>
    <row r="45" spans="4:9" ht="18" customHeight="1">
      <c r="D45" s="178" t="s">
        <v>1780</v>
      </c>
      <c r="E45" s="179" t="s">
        <v>1780</v>
      </c>
      <c r="F45" s="180">
        <f>ROUND(SUMIF('CF(공)_1.0'!$E:$E,'CF(공)_2.0'!E45,'CF(공)_1.0'!$F:$F),0)</f>
        <v>0</v>
      </c>
      <c r="G45" s="180"/>
      <c r="H45" s="180" t="s">
        <v>612</v>
      </c>
      <c r="I45" s="181"/>
    </row>
    <row r="46" spans="4:9" ht="18" customHeight="1">
      <c r="D46" s="178" t="s">
        <v>1471</v>
      </c>
      <c r="E46" s="179" t="s">
        <v>1471</v>
      </c>
      <c r="F46" s="180">
        <f>ROUND(SUMIF('CF(공)_1.0'!$E:$E,'CF(공)_2.0'!E46,'CF(공)_1.0'!$F:$F),0)</f>
        <v>5338055248</v>
      </c>
      <c r="G46" s="180"/>
      <c r="H46" s="180">
        <v>10560214059</v>
      </c>
      <c r="I46" s="181"/>
    </row>
    <row r="47" spans="4:9" ht="18" customHeight="1">
      <c r="D47" s="178" t="s">
        <v>1472</v>
      </c>
      <c r="E47" s="179" t="s">
        <v>1472</v>
      </c>
      <c r="F47" s="180">
        <f>ROUND(SUMIF('CF(공)_1.0'!$E:$E,'CF(공)_2.0'!E47,'CF(공)_1.0'!$F:$F),0)</f>
        <v>19556864340</v>
      </c>
      <c r="G47" s="180"/>
      <c r="H47" s="180">
        <v>2463385876</v>
      </c>
      <c r="I47" s="181"/>
    </row>
    <row r="48" spans="4:9" ht="18" customHeight="1">
      <c r="D48" s="178" t="s">
        <v>1473</v>
      </c>
      <c r="E48" s="179" t="s">
        <v>1473</v>
      </c>
      <c r="F48" s="180">
        <f>ROUND(SUMIF('CF(공)_1.0'!$E:$E,'CF(공)_2.0'!E48,'CF(공)_1.0'!$F:$F),0)</f>
        <v>-1666867878</v>
      </c>
      <c r="G48" s="180"/>
      <c r="H48" s="180">
        <v>12005959229</v>
      </c>
      <c r="I48" s="181"/>
    </row>
    <row r="49" spans="4:10" ht="18" customHeight="1">
      <c r="D49" s="178" t="s">
        <v>1475</v>
      </c>
      <c r="E49" s="179" t="s">
        <v>1475</v>
      </c>
      <c r="F49" s="180">
        <f>ROUND(SUMIF('CF(공)_1.0'!$E:$E,'CF(공)_2.0'!E49,'CF(공)_1.0'!$F:$F),0)</f>
        <v>-2111989263</v>
      </c>
      <c r="G49" s="180"/>
      <c r="H49" s="180">
        <v>-1324879788</v>
      </c>
      <c r="I49" s="181"/>
    </row>
    <row r="50" spans="4:10" ht="18" customHeight="1">
      <c r="D50" s="170" t="s">
        <v>1428</v>
      </c>
      <c r="E50" s="171" t="s">
        <v>1009</v>
      </c>
      <c r="F50" s="172">
        <f>'CF(공)_1.0'!H55</f>
        <v>768265231</v>
      </c>
      <c r="G50" s="172"/>
      <c r="H50" s="172">
        <v>768265231</v>
      </c>
      <c r="I50" s="173"/>
    </row>
    <row r="51" spans="4:10" ht="18" customHeight="1">
      <c r="D51" s="170" t="s">
        <v>1429</v>
      </c>
      <c r="E51" s="171" t="s">
        <v>1011</v>
      </c>
      <c r="F51" s="172">
        <f>'CF(공)_1.0'!H56</f>
        <v>-75990852</v>
      </c>
      <c r="G51" s="172"/>
      <c r="H51" s="172">
        <v>-75990852</v>
      </c>
      <c r="I51" s="173"/>
    </row>
    <row r="52" spans="4:10" ht="18" customHeight="1">
      <c r="D52" s="170" t="s">
        <v>1430</v>
      </c>
      <c r="E52" s="171" t="s">
        <v>1013</v>
      </c>
      <c r="F52" s="172">
        <f>'CF(공)_1.0'!H57</f>
        <v>-1045098540</v>
      </c>
      <c r="G52" s="172"/>
      <c r="H52" s="172">
        <v>-1045098540</v>
      </c>
      <c r="I52" s="173"/>
    </row>
    <row r="53" spans="4:10" s="2" customFormat="1" ht="18" customHeight="1">
      <c r="D53" s="166" t="s">
        <v>1431</v>
      </c>
      <c r="E53" s="167"/>
      <c r="F53" s="168"/>
      <c r="G53" s="168">
        <f>SUM(F54,F60)</f>
        <v>-2818217528</v>
      </c>
      <c r="H53" s="168"/>
      <c r="I53" s="169">
        <f>SUM(H54,H60)</f>
        <v>-10169433987</v>
      </c>
      <c r="J53" s="4" t="b">
        <f>G53-'CF(공)_1.0'!F59=0</f>
        <v>0</v>
      </c>
    </row>
    <row r="54" spans="4:10" s="2" customFormat="1" ht="18" customHeight="1">
      <c r="D54" s="174" t="s">
        <v>1476</v>
      </c>
      <c r="E54" s="175"/>
      <c r="F54" s="176">
        <f>SUM(F55:F59)</f>
        <v>1684766200</v>
      </c>
      <c r="G54" s="176"/>
      <c r="H54" s="176">
        <f>SUM(H55:H59)</f>
        <v>61819543667</v>
      </c>
      <c r="I54" s="177"/>
    </row>
    <row r="55" spans="4:10" ht="18" customHeight="1">
      <c r="D55" s="178" t="s">
        <v>1375</v>
      </c>
      <c r="E55" s="179" t="s">
        <v>1375</v>
      </c>
      <c r="F55" s="180">
        <f>ROUND(SUMIF('CF(공)_1.0'!$E:$E,'CF(공)_2.0'!E55,'CF(공)_1.0'!$F:$F),0)</f>
        <v>1677388000</v>
      </c>
      <c r="G55" s="180"/>
      <c r="H55" s="180">
        <v>196574806</v>
      </c>
      <c r="I55" s="181"/>
    </row>
    <row r="56" spans="4:10" ht="18" customHeight="1">
      <c r="D56" s="178" t="s">
        <v>1378</v>
      </c>
      <c r="E56" s="179" t="s">
        <v>1378</v>
      </c>
      <c r="F56" s="180">
        <f>ROUND(SUMIF('CF(공)_1.0'!$E:$E,'CF(공)_2.0'!E56,'CF(공)_1.0'!$F:$F),0)</f>
        <v>5000000</v>
      </c>
      <c r="G56" s="180"/>
      <c r="H56" s="180">
        <v>18000000</v>
      </c>
      <c r="I56" s="181"/>
    </row>
    <row r="57" spans="4:10" ht="18" customHeight="1">
      <c r="D57" s="178" t="s">
        <v>1479</v>
      </c>
      <c r="E57" s="179" t="s">
        <v>1479</v>
      </c>
      <c r="F57" s="180">
        <f>ROUND(SUMIF('CF(공)_1.0'!$E:$E,'CF(공)_2.0'!E57,'CF(공)_1.0'!$F:$F),0)</f>
        <v>0</v>
      </c>
      <c r="G57" s="180"/>
      <c r="H57" s="180">
        <v>61586457593</v>
      </c>
      <c r="I57" s="181"/>
    </row>
    <row r="58" spans="4:10" ht="18" customHeight="1">
      <c r="D58" s="178" t="s">
        <v>1480</v>
      </c>
      <c r="E58" s="179" t="s">
        <v>1480</v>
      </c>
      <c r="F58" s="180">
        <f>ROUND(SUMIF('CF(공)_1.0'!$E:$E,'CF(공)_2.0'!E58,'CF(공)_1.0'!$F:$F),0)</f>
        <v>2378200</v>
      </c>
      <c r="G58" s="180"/>
      <c r="H58" s="180">
        <v>9545268</v>
      </c>
      <c r="I58" s="181"/>
    </row>
    <row r="59" spans="4:10" ht="18" customHeight="1">
      <c r="D59" s="178" t="s">
        <v>1481</v>
      </c>
      <c r="E59" s="179" t="s">
        <v>1481</v>
      </c>
      <c r="F59" s="180">
        <v>0</v>
      </c>
      <c r="G59" s="180"/>
      <c r="H59" s="180">
        <v>8966000</v>
      </c>
      <c r="I59" s="181"/>
    </row>
    <row r="60" spans="4:10" s="2" customFormat="1" ht="18" customHeight="1">
      <c r="D60" s="174" t="s">
        <v>1483</v>
      </c>
      <c r="E60" s="175"/>
      <c r="F60" s="176">
        <f>-SUM(F61:F72)</f>
        <v>-4502983728</v>
      </c>
      <c r="G60" s="176"/>
      <c r="H60" s="176">
        <f>-SUM(H61:H72)</f>
        <v>-71988977654</v>
      </c>
      <c r="I60" s="177"/>
    </row>
    <row r="61" spans="4:10" ht="18" customHeight="1">
      <c r="D61" s="178" t="s">
        <v>1374</v>
      </c>
      <c r="E61" s="179" t="s">
        <v>1374</v>
      </c>
      <c r="F61" s="180">
        <f>-ROUND(SUMIF('CF(공)_1.0'!$E:$E,'CF(공)_2.0'!E61,'CF(공)_1.0'!$F:$F),0)</f>
        <v>1499086000</v>
      </c>
      <c r="G61" s="180"/>
      <c r="H61" s="180">
        <v>20379757</v>
      </c>
      <c r="I61" s="181"/>
    </row>
    <row r="62" spans="4:10" ht="18" customHeight="1">
      <c r="D62" s="178" t="s">
        <v>1523</v>
      </c>
      <c r="E62" s="179" t="s">
        <v>1523</v>
      </c>
      <c r="F62" s="180">
        <f>-ROUND(SUMIF('CF(공)_1.0'!$E:$E,'CF(공)_2.0'!E62,'CF(공)_1.0'!$F:$F),0)</f>
        <v>0</v>
      </c>
      <c r="G62" s="180"/>
      <c r="H62" s="180"/>
      <c r="I62" s="181"/>
    </row>
    <row r="63" spans="4:10" ht="18" customHeight="1">
      <c r="D63" s="178" t="s">
        <v>1138</v>
      </c>
      <c r="E63" s="179" t="s">
        <v>1138</v>
      </c>
      <c r="F63" s="180">
        <f>-ROUND(SUMIF('CF(공)_1.0'!$E:$E,'CF(공)_2.0'!E63,'CF(공)_1.0'!$F:$F),0)</f>
        <v>0</v>
      </c>
      <c r="G63" s="180"/>
      <c r="H63" s="180"/>
      <c r="I63" s="181"/>
    </row>
    <row r="64" spans="4:10" ht="18" customHeight="1">
      <c r="D64" s="178" t="s">
        <v>1792</v>
      </c>
      <c r="E64" s="179" t="s">
        <v>1792</v>
      </c>
      <c r="F64" s="180">
        <f>-ROUND(SUMIF('CF(공)_1.0'!$E:$E,'CF(공)_2.0'!E64,'CF(공)_1.0'!$F:$F),0)</f>
        <v>0</v>
      </c>
      <c r="G64" s="180"/>
      <c r="H64" s="180"/>
      <c r="I64" s="181"/>
    </row>
    <row r="65" spans="4:10" ht="18" customHeight="1">
      <c r="D65" s="178" t="s">
        <v>1789</v>
      </c>
      <c r="E65" s="179" t="s">
        <v>1789</v>
      </c>
      <c r="F65" s="180">
        <f>-ROUND(SUMIF('CF(공)_1.0'!$E:$E,'CF(공)_2.0'!E65,'CF(공)_1.0'!$F:$F),0)</f>
        <v>0</v>
      </c>
      <c r="G65" s="180"/>
      <c r="H65" s="180"/>
      <c r="I65" s="181"/>
    </row>
    <row r="66" spans="4:10" ht="18" customHeight="1">
      <c r="D66" s="178" t="s">
        <v>1485</v>
      </c>
      <c r="E66" s="179" t="s">
        <v>1485</v>
      </c>
      <c r="F66" s="180">
        <f>-ROUND(SUMIF('CF(공)_1.0'!$E:$E,'CF(공)_2.0'!E66,'CF(공)_1.0'!$F:$F),0)</f>
        <v>0</v>
      </c>
      <c r="G66" s="180"/>
      <c r="H66" s="180">
        <v>47900002834</v>
      </c>
      <c r="I66" s="181"/>
    </row>
    <row r="67" spans="4:10" ht="18" customHeight="1">
      <c r="D67" s="178" t="s">
        <v>1527</v>
      </c>
      <c r="E67" s="179" t="s">
        <v>1527</v>
      </c>
      <c r="F67" s="180">
        <f>-ROUND(SUMIF('CF(공)_1.0'!$E:$E,'CF(공)_2.0'!E67,'CF(공)_1.0'!$F:$F),0)</f>
        <v>0</v>
      </c>
      <c r="G67" s="180"/>
      <c r="H67" s="180">
        <v>1211867769</v>
      </c>
      <c r="I67" s="181"/>
    </row>
    <row r="68" spans="4:10" ht="18" customHeight="1">
      <c r="D68" s="178" t="s">
        <v>1839</v>
      </c>
      <c r="E68" s="179" t="s">
        <v>1839</v>
      </c>
      <c r="F68" s="180">
        <f>-ROUND(SUMIF('CF(공)_1.0'!$E:$E,'CF(공)_2.0'!E68,'CF(공)_1.0'!$F:$F),0)</f>
        <v>0</v>
      </c>
      <c r="G68" s="180"/>
      <c r="H68" s="180"/>
      <c r="I68" s="181"/>
    </row>
    <row r="69" spans="4:10" ht="18" customHeight="1">
      <c r="D69" s="178" t="s">
        <v>1487</v>
      </c>
      <c r="E69" s="179" t="s">
        <v>1487</v>
      </c>
      <c r="F69" s="180">
        <f>-ROUND(SUMIF('CF(공)_1.0'!$E:$E,'CF(공)_2.0'!E69,'CF(공)_1.0'!$F:$F),0)</f>
        <v>1030872652</v>
      </c>
      <c r="G69" s="180"/>
      <c r="H69" s="180">
        <v>1999782244</v>
      </c>
      <c r="I69" s="181"/>
    </row>
    <row r="70" spans="4:10" ht="18" customHeight="1">
      <c r="D70" s="178" t="s">
        <v>1488</v>
      </c>
      <c r="E70" s="179" t="s">
        <v>1488</v>
      </c>
      <c r="F70" s="180">
        <f>-ROUND(SUMIF('CF(공)_1.0'!$E:$E,'CF(공)_2.0'!E70,'CF(공)_1.0'!$F:$F),0)</f>
        <v>1973025076</v>
      </c>
      <c r="G70" s="180"/>
      <c r="H70" s="180">
        <v>17536945050</v>
      </c>
      <c r="I70" s="181"/>
    </row>
    <row r="71" spans="4:10" ht="18" customHeight="1">
      <c r="D71" s="178" t="s">
        <v>1525</v>
      </c>
      <c r="E71" s="179" t="s">
        <v>1525</v>
      </c>
      <c r="F71" s="180">
        <f>-ROUND(SUMIF('CF(공)_1.0'!$E:$E,'CF(공)_2.0'!E71,'CF(공)_1.0'!$F:$F),0)</f>
        <v>0</v>
      </c>
      <c r="G71" s="180"/>
      <c r="H71" s="180">
        <v>3320000000</v>
      </c>
      <c r="I71" s="181"/>
    </row>
    <row r="72" spans="4:10" ht="18" customHeight="1">
      <c r="D72" s="178" t="s">
        <v>1848</v>
      </c>
      <c r="E72" s="179" t="s">
        <v>1848</v>
      </c>
      <c r="F72" s="180">
        <v>0</v>
      </c>
      <c r="G72" s="180"/>
      <c r="H72" s="180"/>
      <c r="I72" s="181"/>
    </row>
    <row r="73" spans="4:10" s="2" customFormat="1" ht="18" customHeight="1">
      <c r="D73" s="166" t="s">
        <v>1449</v>
      </c>
      <c r="E73" s="167"/>
      <c r="F73" s="168"/>
      <c r="G73" s="168">
        <f>SUM(F74,F76)</f>
        <v>-2329330151</v>
      </c>
      <c r="H73" s="168"/>
      <c r="I73" s="169">
        <f>SUM(H74,H76)</f>
        <v>68471782850</v>
      </c>
      <c r="J73" s="2" t="b">
        <f>'CF(공)_1.0'!F84=G73</f>
        <v>1</v>
      </c>
    </row>
    <row r="74" spans="4:10" s="2" customFormat="1" ht="18" customHeight="1">
      <c r="D74" s="174" t="s">
        <v>1489</v>
      </c>
      <c r="E74" s="175"/>
      <c r="F74" s="176">
        <f>F75</f>
        <v>0</v>
      </c>
      <c r="G74" s="176"/>
      <c r="H74" s="176">
        <f>H75</f>
        <v>69971782850</v>
      </c>
      <c r="I74" s="177"/>
    </row>
    <row r="75" spans="4:10" ht="18" customHeight="1">
      <c r="D75" s="178" t="s">
        <v>533</v>
      </c>
      <c r="E75" s="179" t="s">
        <v>533</v>
      </c>
      <c r="F75" s="180">
        <f>ROUND(SUMIF('CF(공)_1.0'!$E:$E,'CF(공)_2.0'!E75,'CF(공)_1.0'!$F:$F),0)</f>
        <v>0</v>
      </c>
      <c r="G75" s="180"/>
      <c r="H75" s="180">
        <v>69971782850</v>
      </c>
      <c r="I75" s="181"/>
    </row>
    <row r="76" spans="4:10" s="2" customFormat="1" ht="18" customHeight="1">
      <c r="D76" s="174" t="s">
        <v>1490</v>
      </c>
      <c r="E76" s="175"/>
      <c r="F76" s="176">
        <f>-SUM(F77:F80)</f>
        <v>-2329330151</v>
      </c>
      <c r="G76" s="176"/>
      <c r="H76" s="176">
        <f>-SUM(H77:H80)</f>
        <v>-1500000000</v>
      </c>
      <c r="I76" s="177"/>
    </row>
    <row r="77" spans="4:10" ht="18" customHeight="1">
      <c r="D77" s="178" t="s">
        <v>1297</v>
      </c>
      <c r="E77" s="179" t="s">
        <v>1297</v>
      </c>
      <c r="F77" s="180">
        <f>-ROUND(SUMIF('CF(공)_1.0'!$E:$E,'CF(공)_2.0'!E77,'CF(공)_1.0'!$F:$F),0)</f>
        <v>0</v>
      </c>
      <c r="G77" s="180"/>
      <c r="H77" s="180"/>
      <c r="I77" s="181"/>
    </row>
    <row r="78" spans="4:10" ht="18" customHeight="1">
      <c r="D78" s="178" t="s">
        <v>1283</v>
      </c>
      <c r="E78" s="179" t="s">
        <v>1283</v>
      </c>
      <c r="F78" s="180">
        <f>-ROUND(SUMIF('CF(공)_1.0'!$E:$E,'CF(공)_2.0'!E78,'CF(공)_1.0'!$F:$F),0)</f>
        <v>0</v>
      </c>
      <c r="G78" s="180"/>
      <c r="H78" s="180">
        <v>1500000000</v>
      </c>
      <c r="I78" s="181"/>
    </row>
    <row r="79" spans="4:10" ht="18" customHeight="1">
      <c r="D79" s="178" t="s">
        <v>1786</v>
      </c>
      <c r="E79" s="179" t="s">
        <v>1786</v>
      </c>
      <c r="F79" s="180">
        <f>-ROUND(SUMIF('CF(공)_1.0'!$E:$E,'CF(공)_2.0'!E79,'CF(공)_1.0'!$F:$F),0)</f>
        <v>2329330151</v>
      </c>
      <c r="G79" s="180"/>
      <c r="H79" s="180"/>
      <c r="I79" s="181"/>
    </row>
    <row r="80" spans="4:10" ht="18" customHeight="1">
      <c r="D80" s="178" t="s">
        <v>1315</v>
      </c>
      <c r="E80" s="179" t="s">
        <v>1315</v>
      </c>
      <c r="F80" s="180">
        <f>-ROUND(SUMIF('CF(공)_1.0'!$E:$E,'CF(공)_2.0'!E80,'CF(공)_1.0'!$F:$F),0)</f>
        <v>0</v>
      </c>
      <c r="G80" s="180"/>
      <c r="H80" s="180"/>
      <c r="I80" s="181"/>
    </row>
    <row r="81" spans="4:9" s="2" customFormat="1" ht="18" customHeight="1">
      <c r="D81" s="166" t="s">
        <v>1454</v>
      </c>
      <c r="E81" s="167"/>
      <c r="F81" s="168"/>
      <c r="G81" s="168">
        <f>SUM(G73,G53,G5)</f>
        <v>8203621555</v>
      </c>
      <c r="H81" s="168"/>
      <c r="I81" s="169">
        <f>SUM(I73,I53,I5)</f>
        <v>71943965639</v>
      </c>
    </row>
    <row r="82" spans="4:9" s="2" customFormat="1" ht="18" customHeight="1">
      <c r="D82" s="166" t="s">
        <v>1455</v>
      </c>
      <c r="E82" s="167"/>
      <c r="F82" s="168"/>
      <c r="G82" s="168">
        <f>'BS(공)'!I7</f>
        <v>88901392676</v>
      </c>
      <c r="H82" s="168"/>
      <c r="I82" s="169">
        <v>22920303979</v>
      </c>
    </row>
    <row r="83" spans="4:9" s="2" customFormat="1" ht="18" customHeight="1">
      <c r="D83" s="166" t="s">
        <v>1456</v>
      </c>
      <c r="E83" s="167"/>
      <c r="F83" s="168"/>
      <c r="G83" s="168">
        <f>'CF(공)_1.0'!F95</f>
        <v>-2053197267</v>
      </c>
      <c r="H83" s="168"/>
      <c r="I83" s="169">
        <v>789091105</v>
      </c>
    </row>
    <row r="84" spans="4:9" s="2" customFormat="1" ht="18" customHeight="1" thickBot="1">
      <c r="D84" s="182" t="s">
        <v>1457</v>
      </c>
      <c r="E84" s="183"/>
      <c r="F84" s="184"/>
      <c r="G84" s="184">
        <f>SUM(G81:G83)</f>
        <v>95051816964</v>
      </c>
      <c r="H84" s="184"/>
      <c r="I84" s="185">
        <f>SUM(I81:I83)</f>
        <v>95653360723</v>
      </c>
    </row>
    <row r="85" spans="4:9" ht="18" customHeight="1">
      <c r="G85" s="5">
        <f>'BS(공)'!G7</f>
        <v>97271207132</v>
      </c>
    </row>
    <row r="86" spans="4:9" ht="18" customHeight="1">
      <c r="G86" s="5" t="b">
        <f>G85-G84=0</f>
        <v>0</v>
      </c>
    </row>
  </sheetData>
  <mergeCells count="2">
    <mergeCell ref="F4:G4"/>
    <mergeCell ref="H4:I4"/>
  </mergeCells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79998168889431442"/>
  </sheetPr>
  <dimension ref="A1:AK297"/>
  <sheetViews>
    <sheetView showGridLines="0" zoomScaleNormal="100" workbookViewId="0">
      <pane xSplit="7" ySplit="6" topLeftCell="H224" activePane="bottomRight" state="frozen"/>
      <selection activeCell="AA236" sqref="AA236"/>
      <selection pane="topRight" activeCell="AA236" sqref="AA236"/>
      <selection pane="bottomLeft" activeCell="AA236" sqref="AA236"/>
      <selection pane="bottomRight" activeCell="U232" sqref="U232"/>
    </sheetView>
  </sheetViews>
  <sheetFormatPr defaultColWidth="8.75" defaultRowHeight="18" customHeight="1" outlineLevelCol="1"/>
  <cols>
    <col min="1" max="1" width="2.75" style="3" customWidth="1"/>
    <col min="2" max="3" width="2.75" style="6" customWidth="1"/>
    <col min="4" max="4" width="20.125" style="24" customWidth="1"/>
    <col min="5" max="5" width="20.125" style="3" customWidth="1"/>
    <col min="6" max="6" width="20.125" style="24" customWidth="1"/>
    <col min="7" max="7" width="20.125" style="3" customWidth="1"/>
    <col min="8" max="10" width="19.125" style="5" customWidth="1" outlineLevel="1"/>
    <col min="11" max="11" width="19.125" style="5" customWidth="1"/>
    <col min="12" max="12" width="2.25" style="386" customWidth="1"/>
    <col min="13" max="20" width="18.25" style="5" hidden="1" customWidth="1" outlineLevel="1"/>
    <col min="21" max="21" width="18.25" style="5" customWidth="1" collapsed="1"/>
    <col min="22" max="22" width="2.125" style="3" customWidth="1"/>
    <col min="23" max="23" width="18.25" style="5" customWidth="1"/>
    <col min="24" max="24" width="1.875" style="3" customWidth="1"/>
    <col min="25" max="25" width="12" style="3" hidden="1" customWidth="1"/>
    <col min="26" max="26" width="0" style="3" hidden="1" customWidth="1"/>
    <col min="27" max="27" width="10.25" style="3" hidden="1" customWidth="1"/>
    <col min="28" max="28" width="15.75" style="3" hidden="1" customWidth="1"/>
    <col min="29" max="29" width="13.625" style="3" hidden="1" customWidth="1"/>
    <col min="30" max="30" width="0" style="3" hidden="1" customWidth="1"/>
    <col min="31" max="31" width="13" style="3" hidden="1" customWidth="1"/>
    <col min="32" max="32" width="17.125" style="3" hidden="1" customWidth="1"/>
    <col min="33" max="33" width="18" style="3" hidden="1" customWidth="1"/>
    <col min="34" max="35" width="13" style="3" hidden="1" customWidth="1"/>
    <col min="36" max="36" width="0" style="3" hidden="1" customWidth="1"/>
    <col min="37" max="37" width="14.625" style="3" bestFit="1" customWidth="1"/>
    <col min="38" max="16384" width="8.75" style="3"/>
  </cols>
  <sheetData>
    <row r="1" spans="1:35" ht="17.100000000000001" customHeight="1">
      <c r="F1" s="3"/>
      <c r="L1" s="5"/>
      <c r="V1" s="5"/>
    </row>
    <row r="2" spans="1:35" ht="17.100000000000001" customHeight="1">
      <c r="F2" s="3"/>
      <c r="L2" s="5"/>
      <c r="V2" s="5"/>
    </row>
    <row r="3" spans="1:35" s="25" customFormat="1" ht="17.100000000000001" customHeight="1">
      <c r="B3" s="276"/>
      <c r="C3" s="276"/>
      <c r="D3" s="665"/>
      <c r="E3" s="3"/>
      <c r="F3" s="3"/>
      <c r="H3" s="26" t="s">
        <v>2278</v>
      </c>
      <c r="I3" s="26" t="s">
        <v>2279</v>
      </c>
      <c r="J3" s="26" t="s">
        <v>2280</v>
      </c>
      <c r="K3" s="26"/>
      <c r="L3" s="666"/>
      <c r="M3" s="26"/>
      <c r="N3" s="26"/>
      <c r="O3" s="26"/>
      <c r="P3" s="26"/>
      <c r="Q3" s="26"/>
      <c r="R3" s="26"/>
      <c r="S3" s="667"/>
      <c r="T3" s="26"/>
      <c r="U3" s="26"/>
      <c r="W3" s="26"/>
    </row>
    <row r="4" spans="1:35" s="665" customFormat="1" ht="17.100000000000001" customHeight="1">
      <c r="B4" s="46"/>
      <c r="C4" s="46"/>
      <c r="E4" s="3"/>
      <c r="F4" s="3"/>
      <c r="H4" s="220" t="s">
        <v>1597</v>
      </c>
      <c r="I4" s="220" t="s">
        <v>1597</v>
      </c>
      <c r="J4" s="220" t="s">
        <v>1597</v>
      </c>
      <c r="K4" s="220"/>
      <c r="L4" s="668"/>
      <c r="M4" s="220"/>
      <c r="N4" s="220"/>
      <c r="O4" s="220"/>
      <c r="P4" s="220"/>
      <c r="Q4" s="669"/>
      <c r="R4" s="220"/>
      <c r="S4" s="220"/>
      <c r="T4" s="220"/>
      <c r="U4" s="220"/>
      <c r="W4" s="220" t="s">
        <v>2264</v>
      </c>
    </row>
    <row r="5" spans="1:35" s="665" customFormat="1" ht="18" customHeight="1" thickBot="1">
      <c r="B5" s="46"/>
      <c r="C5" s="46"/>
      <c r="E5" s="3"/>
      <c r="F5" s="3"/>
      <c r="H5" s="220" t="b">
        <f>H7-H243=0</f>
        <v>1</v>
      </c>
      <c r="I5" s="220" t="b">
        <f>I7=I243</f>
        <v>1</v>
      </c>
      <c r="J5" s="220" t="b">
        <f>J7=J243</f>
        <v>1</v>
      </c>
      <c r="K5" s="220">
        <f>K7-K243</f>
        <v>0</v>
      </c>
      <c r="L5" s="668"/>
      <c r="M5" s="220">
        <f t="shared" ref="M5:U5" si="0">M7-M243</f>
        <v>0</v>
      </c>
      <c r="N5" s="220">
        <f t="shared" si="0"/>
        <v>0</v>
      </c>
      <c r="O5" s="220">
        <f t="shared" si="0"/>
        <v>0</v>
      </c>
      <c r="P5" s="220">
        <f t="shared" si="0"/>
        <v>0</v>
      </c>
      <c r="Q5" s="220">
        <f t="shared" si="0"/>
        <v>0</v>
      </c>
      <c r="R5" s="220">
        <f t="shared" si="0"/>
        <v>0</v>
      </c>
      <c r="S5" s="220">
        <f t="shared" si="0"/>
        <v>0</v>
      </c>
      <c r="T5" s="220">
        <f t="shared" si="0"/>
        <v>0</v>
      </c>
      <c r="U5" s="220">
        <f t="shared" si="0"/>
        <v>0</v>
      </c>
      <c r="W5" s="220">
        <f>W7-W243</f>
        <v>0</v>
      </c>
      <c r="AB5" s="665" t="s">
        <v>2238</v>
      </c>
    </row>
    <row r="6" spans="1:35" s="670" customFormat="1" ht="30.95" customHeight="1">
      <c r="B6" s="671"/>
      <c r="C6" s="671"/>
      <c r="D6" s="9" t="s">
        <v>16</v>
      </c>
      <c r="E6" s="10" t="s">
        <v>1943</v>
      </c>
      <c r="F6" s="10" t="s">
        <v>18</v>
      </c>
      <c r="G6" s="10" t="s">
        <v>19</v>
      </c>
      <c r="H6" s="442" t="s">
        <v>15</v>
      </c>
      <c r="I6" s="442" t="s">
        <v>217</v>
      </c>
      <c r="J6" s="442" t="s">
        <v>215</v>
      </c>
      <c r="K6" s="443" t="s">
        <v>227</v>
      </c>
      <c r="L6" s="672"/>
      <c r="M6" s="673" t="s">
        <v>391</v>
      </c>
      <c r="N6" s="442" t="s">
        <v>403</v>
      </c>
      <c r="O6" s="442" t="s">
        <v>404</v>
      </c>
      <c r="P6" s="442" t="s">
        <v>410</v>
      </c>
      <c r="Q6" s="442" t="s">
        <v>411</v>
      </c>
      <c r="R6" s="442" t="s">
        <v>488</v>
      </c>
      <c r="S6" s="442" t="s">
        <v>491</v>
      </c>
      <c r="T6" s="442" t="s">
        <v>492</v>
      </c>
      <c r="U6" s="443" t="s">
        <v>490</v>
      </c>
      <c r="W6" s="27" t="s">
        <v>499</v>
      </c>
      <c r="AC6" s="670" t="s">
        <v>2265</v>
      </c>
      <c r="AE6" s="442" t="s">
        <v>15</v>
      </c>
      <c r="AF6" s="442" t="s">
        <v>217</v>
      </c>
      <c r="AG6" s="442" t="s">
        <v>215</v>
      </c>
      <c r="AH6" s="443" t="s">
        <v>490</v>
      </c>
      <c r="AI6" s="27" t="s">
        <v>499</v>
      </c>
    </row>
    <row r="7" spans="1:35" ht="18" customHeight="1">
      <c r="A7" s="5"/>
      <c r="D7" s="11"/>
      <c r="E7" s="28"/>
      <c r="F7" s="29"/>
      <c r="G7" s="28" t="s">
        <v>0</v>
      </c>
      <c r="H7" s="473">
        <f>SUM(H8,H71)</f>
        <v>171930649249</v>
      </c>
      <c r="I7" s="643">
        <f>SUM(I8,I71)</f>
        <v>449416324</v>
      </c>
      <c r="J7" s="643">
        <f>SUM(J8,J71)</f>
        <v>5096776977</v>
      </c>
      <c r="K7" s="644">
        <f>SUM(K8,K71)</f>
        <v>177476842550</v>
      </c>
      <c r="M7" s="674">
        <f t="shared" ref="M7:U7" si="1">SUM(M8,M71)</f>
        <v>19842800</v>
      </c>
      <c r="N7" s="643">
        <f t="shared" si="1"/>
        <v>0</v>
      </c>
      <c r="O7" s="643">
        <f t="shared" si="1"/>
        <v>-1090735376</v>
      </c>
      <c r="P7" s="643">
        <f t="shared" si="1"/>
        <v>-32204791</v>
      </c>
      <c r="Q7" s="643">
        <f t="shared" si="1"/>
        <v>1998694169</v>
      </c>
      <c r="R7" s="643">
        <f t="shared" si="1"/>
        <v>0</v>
      </c>
      <c r="S7" s="643">
        <f t="shared" si="1"/>
        <v>0</v>
      </c>
      <c r="T7" s="643">
        <f t="shared" si="1"/>
        <v>-5928999995</v>
      </c>
      <c r="U7" s="644">
        <f t="shared" si="1"/>
        <v>-5033403193</v>
      </c>
      <c r="W7" s="30">
        <f>SUM(W8,W71)</f>
        <v>172443439357</v>
      </c>
      <c r="Y7" s="5"/>
      <c r="AB7" s="30">
        <v>172224602084</v>
      </c>
      <c r="AC7" s="710">
        <f>W7-AB7</f>
        <v>218837273</v>
      </c>
      <c r="AE7" s="5">
        <v>-446124663</v>
      </c>
      <c r="AF7" s="5">
        <v>0</v>
      </c>
      <c r="AG7" s="5">
        <v>402026552</v>
      </c>
      <c r="AH7" s="5">
        <v>262935384</v>
      </c>
      <c r="AI7" s="5">
        <v>218837273</v>
      </c>
    </row>
    <row r="8" spans="1:35" ht="18" customHeight="1">
      <c r="A8" s="5"/>
      <c r="D8" s="12"/>
      <c r="E8" s="31"/>
      <c r="F8" s="32"/>
      <c r="G8" s="31" t="s">
        <v>20</v>
      </c>
      <c r="H8" s="479">
        <f>SUM(H9,H14,H39,H49,H34,H54,)</f>
        <v>142612141312</v>
      </c>
      <c r="I8" s="446">
        <f>SUM(I9,I14,I39,I49,I34,I54,)</f>
        <v>410791340</v>
      </c>
      <c r="J8" s="446">
        <f>SUM(J9,J14,J39,J49,J34,J54,)</f>
        <v>4377943839</v>
      </c>
      <c r="K8" s="461">
        <f>SUM(K9,K14,K39,K49,K34,K54,)</f>
        <v>147400876491</v>
      </c>
      <c r="M8" s="445">
        <f t="shared" ref="M8:U8" si="2">SUM(M9,M14,M39,M49,M34,M54,)</f>
        <v>0</v>
      </c>
      <c r="N8" s="446">
        <f t="shared" si="2"/>
        <v>0</v>
      </c>
      <c r="O8" s="446">
        <f t="shared" si="2"/>
        <v>-1090735376</v>
      </c>
      <c r="P8" s="446">
        <f t="shared" si="2"/>
        <v>-32204791</v>
      </c>
      <c r="Q8" s="446">
        <f t="shared" si="2"/>
        <v>0</v>
      </c>
      <c r="R8" s="446">
        <f t="shared" si="2"/>
        <v>0</v>
      </c>
      <c r="S8" s="446">
        <f t="shared" si="2"/>
        <v>0</v>
      </c>
      <c r="T8" s="446">
        <f t="shared" si="2"/>
        <v>0</v>
      </c>
      <c r="U8" s="461">
        <f t="shared" si="2"/>
        <v>-1122940167</v>
      </c>
      <c r="W8" s="33">
        <f>SUM(W9,W14,W39,W49,W34,W54,)</f>
        <v>146277936324</v>
      </c>
      <c r="Y8" s="5"/>
      <c r="AB8" s="33">
        <v>146392067225</v>
      </c>
      <c r="AC8" s="710">
        <f t="shared" ref="AC8:AC71" si="3">W8-AB8</f>
        <v>-114130901</v>
      </c>
      <c r="AE8" s="5">
        <v>-376791746</v>
      </c>
      <c r="AF8" s="5">
        <v>0</v>
      </c>
      <c r="AG8" s="5">
        <v>-274539</v>
      </c>
      <c r="AH8" s="5">
        <v>262935384</v>
      </c>
      <c r="AI8" s="5">
        <v>-114130901</v>
      </c>
    </row>
    <row r="9" spans="1:35" ht="18" customHeight="1">
      <c r="A9" s="5"/>
      <c r="D9" s="13"/>
      <c r="E9" s="34"/>
      <c r="F9" s="35"/>
      <c r="G9" s="34" t="s">
        <v>1</v>
      </c>
      <c r="H9" s="484">
        <f>SUM(H10:H13)</f>
        <v>93366762419</v>
      </c>
      <c r="I9" s="417">
        <f>SUM(I10:I13)</f>
        <v>15528652</v>
      </c>
      <c r="J9" s="417">
        <f>SUM(J10:J13)</f>
        <v>3888916061</v>
      </c>
      <c r="K9" s="645">
        <f>SUM(K10:K13)</f>
        <v>97271207132</v>
      </c>
      <c r="M9" s="675">
        <f t="shared" ref="M9:U9" si="4">SUM(M10:M13)</f>
        <v>0</v>
      </c>
      <c r="N9" s="417">
        <f t="shared" si="4"/>
        <v>0</v>
      </c>
      <c r="O9" s="417">
        <f t="shared" si="4"/>
        <v>0</v>
      </c>
      <c r="P9" s="417">
        <f t="shared" si="4"/>
        <v>0</v>
      </c>
      <c r="Q9" s="417">
        <f t="shared" si="4"/>
        <v>0</v>
      </c>
      <c r="R9" s="417">
        <f t="shared" si="4"/>
        <v>0</v>
      </c>
      <c r="S9" s="417">
        <f t="shared" si="4"/>
        <v>0</v>
      </c>
      <c r="T9" s="417">
        <f t="shared" si="4"/>
        <v>0</v>
      </c>
      <c r="U9" s="645">
        <f t="shared" si="4"/>
        <v>0</v>
      </c>
      <c r="W9" s="36">
        <f>SUM(W10:W13)</f>
        <v>97271207132</v>
      </c>
      <c r="Y9" s="5"/>
      <c r="AB9" s="36">
        <v>97271207132</v>
      </c>
      <c r="AC9" s="710">
        <f t="shared" si="3"/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 s="386" customFormat="1" ht="18" customHeight="1">
      <c r="A10" s="5"/>
      <c r="B10" s="38"/>
      <c r="C10" s="38"/>
      <c r="D10" s="14" t="s">
        <v>1343</v>
      </c>
      <c r="E10" s="38" t="s">
        <v>1</v>
      </c>
      <c r="F10" s="37">
        <v>1101</v>
      </c>
      <c r="G10" s="38" t="s">
        <v>1345</v>
      </c>
      <c r="H10" s="5">
        <v>0</v>
      </c>
      <c r="I10" s="211">
        <v>0</v>
      </c>
      <c r="J10" s="211">
        <v>0</v>
      </c>
      <c r="K10" s="15">
        <f>SUM(H10:J10)</f>
        <v>0</v>
      </c>
      <c r="M10" s="676">
        <f>SUMIF('1.0'!$D:$D,T_BS!D10,'1.0'!$N:$N)</f>
        <v>0</v>
      </c>
      <c r="N10" s="211">
        <f>SUMIF('2.0'!$D:$D,T_BS!D10,'2.0'!$N:$N)</f>
        <v>0</v>
      </c>
      <c r="O10" s="7">
        <f>ROUND(SUMIF('3.0'!$D:$D,T_BS!D10,'3.0'!$H:$H),0)</f>
        <v>0</v>
      </c>
      <c r="P10" s="210">
        <f>ROUND(SUMIF('4.0'!$D:$D,T_BS!D10,'4.0'!$N:$N),0)</f>
        <v>0</v>
      </c>
      <c r="Q10" s="7">
        <f>ROUND(SUMIF('5.0'!$D:$D,T_BS!D10,'5.0'!$N:$N),0)</f>
        <v>0</v>
      </c>
      <c r="R10" s="210">
        <f>ROUND(SUMIF('6.0'!$D:$D,T_BS!D10,'6.0'!$N:$N),0)</f>
        <v>0</v>
      </c>
      <c r="S10" s="210">
        <f>ROUND(SUMIF('7.0'!$D:$D,T_BS!D10,'7.0'!$I:$I),0)</f>
        <v>0</v>
      </c>
      <c r="T10" s="210">
        <f>ROUND(SUMIF('8.0'!$D:$D,T_BS!D10,'8.0'!$H:$H),0)</f>
        <v>0</v>
      </c>
      <c r="U10" s="15">
        <f>SUM(M10:T10)</f>
        <v>0</v>
      </c>
      <c r="W10" s="39">
        <f>U10+K10</f>
        <v>0</v>
      </c>
      <c r="Y10" s="5"/>
      <c r="AB10" s="39">
        <v>0</v>
      </c>
      <c r="AC10" s="710">
        <f t="shared" si="3"/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 s="386" customFormat="1" ht="18" customHeight="1">
      <c r="A11" s="5"/>
      <c r="B11" s="38"/>
      <c r="C11" s="38"/>
      <c r="D11" s="14" t="s">
        <v>1346</v>
      </c>
      <c r="E11" s="38" t="s">
        <v>1</v>
      </c>
      <c r="F11" s="37">
        <v>1101</v>
      </c>
      <c r="G11" s="38" t="s">
        <v>1344</v>
      </c>
      <c r="H11" s="5">
        <v>0</v>
      </c>
      <c r="I11" s="211">
        <v>0</v>
      </c>
      <c r="J11" s="211">
        <v>0</v>
      </c>
      <c r="K11" s="15">
        <f>SUM(H11:J11)</f>
        <v>0</v>
      </c>
      <c r="M11" s="676">
        <f>SUMIF('1.0'!$D:$D,T_BS!D11,'1.0'!$N:$N)</f>
        <v>0</v>
      </c>
      <c r="N11" s="211">
        <f>SUMIF('2.0'!$D:$D,T_BS!D11,'2.0'!$N:$N)</f>
        <v>0</v>
      </c>
      <c r="O11" s="210">
        <f>ROUND(SUMIF('3.0'!$D:$D,T_BS!D11,'3.0'!$H:$H),0)</f>
        <v>0</v>
      </c>
      <c r="P11" s="210">
        <f>ROUND(SUMIF('4.0'!$D:$D,T_BS!D11,'4.0'!$N:$N),0)</f>
        <v>0</v>
      </c>
      <c r="Q11" s="7">
        <f>ROUND(SUMIF('5.0'!$D:$D,T_BS!D11,'5.0'!$N:$N),0)</f>
        <v>0</v>
      </c>
      <c r="R11" s="210">
        <f>ROUND(SUMIF('6.0'!$D:$D,T_BS!D11,'6.0'!$N:$N),0)</f>
        <v>0</v>
      </c>
      <c r="S11" s="210">
        <f>ROUND(SUMIF('7.0'!$D:$D,T_BS!D11,'7.0'!$I:$I),0)</f>
        <v>0</v>
      </c>
      <c r="T11" s="210">
        <f>ROUND(SUMIF('8.0'!$D:$D,T_BS!D11,'8.0'!$H:$H),0)</f>
        <v>0</v>
      </c>
      <c r="U11" s="15">
        <f>SUM(M11:T11)</f>
        <v>0</v>
      </c>
      <c r="W11" s="39">
        <f>U11+K11</f>
        <v>0</v>
      </c>
      <c r="Y11" s="5"/>
      <c r="AB11" s="39">
        <v>0</v>
      </c>
      <c r="AC11" s="710">
        <f t="shared" si="3"/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 ht="18" customHeight="1">
      <c r="A12" s="5"/>
      <c r="D12" s="14">
        <v>111151</v>
      </c>
      <c r="E12" s="6" t="s">
        <v>1</v>
      </c>
      <c r="F12" s="40">
        <v>1102</v>
      </c>
      <c r="G12" s="6" t="s">
        <v>21</v>
      </c>
      <c r="H12" s="5">
        <v>63484872299</v>
      </c>
      <c r="I12" s="211">
        <v>0</v>
      </c>
      <c r="J12" s="211">
        <v>0</v>
      </c>
      <c r="K12" s="15">
        <f>SUM(H12:J12)</f>
        <v>63484872299</v>
      </c>
      <c r="M12" s="676">
        <f>SUMIF('1.0'!$D:$D,T_BS!D12,'1.0'!$N:$N)</f>
        <v>0</v>
      </c>
      <c r="N12" s="211">
        <f>SUMIF('2.0'!$D:$D,T_BS!D12,'2.0'!$N:$N)</f>
        <v>0</v>
      </c>
      <c r="O12" s="210">
        <f>ROUND(SUMIF('3.0'!$D:$D,T_BS!D12,'3.0'!$H:$H),0)</f>
        <v>0</v>
      </c>
      <c r="P12" s="210">
        <f>ROUND(SUMIF('4.0'!$D:$D,T_BS!D12,'4.0'!$N:$N),0)</f>
        <v>0</v>
      </c>
      <c r="Q12" s="7">
        <f>ROUND(SUMIF('5.0'!$D:$D,T_BS!D12,'5.0'!$N:$N),0)</f>
        <v>0</v>
      </c>
      <c r="R12" s="210">
        <f>ROUND(SUMIF('6.0'!$D:$D,T_BS!D12,'6.0'!$N:$N),0)</f>
        <v>0</v>
      </c>
      <c r="S12" s="210">
        <f>ROUND(SUMIF('7.0'!$D:$D,T_BS!D12,'7.0'!$I:$I),0)</f>
        <v>0</v>
      </c>
      <c r="T12" s="210">
        <f>ROUND(SUMIF('8.0'!$D:$D,T_BS!D12,'8.0'!$H:$H),0)</f>
        <v>0</v>
      </c>
      <c r="U12" s="15">
        <f>SUM(M12:T12)</f>
        <v>0</v>
      </c>
      <c r="W12" s="39">
        <f>U12+K12</f>
        <v>63484872299</v>
      </c>
      <c r="Y12" s="5"/>
      <c r="AB12" s="39">
        <v>63484872299</v>
      </c>
      <c r="AC12" s="710">
        <f t="shared" si="3"/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 ht="18" customHeight="1">
      <c r="A13" s="5"/>
      <c r="D13" s="14">
        <v>111171</v>
      </c>
      <c r="E13" s="6" t="s">
        <v>1</v>
      </c>
      <c r="F13" s="40">
        <v>1102</v>
      </c>
      <c r="G13" s="6" t="s">
        <v>22</v>
      </c>
      <c r="H13" s="5">
        <v>29881890120</v>
      </c>
      <c r="I13" s="211">
        <v>15528652</v>
      </c>
      <c r="J13" s="211">
        <v>3888916061</v>
      </c>
      <c r="K13" s="15">
        <f>SUM(H13:J13)</f>
        <v>33786334833</v>
      </c>
      <c r="M13" s="676">
        <f>SUMIF('1.0'!$D:$D,T_BS!D13,'1.0'!$N:$N)</f>
        <v>0</v>
      </c>
      <c r="N13" s="211">
        <f>SUMIF('2.0'!$D:$D,T_BS!D13,'2.0'!$N:$N)</f>
        <v>0</v>
      </c>
      <c r="O13" s="7">
        <f>ROUND(SUMIF('3.0'!$D:$D,T_BS!D13,'3.0'!$H:$H),0)</f>
        <v>0</v>
      </c>
      <c r="P13" s="210">
        <f>ROUND(SUMIF('4.0'!$D:$D,T_BS!D13,'4.0'!$N:$N),0)</f>
        <v>0</v>
      </c>
      <c r="Q13" s="7">
        <f>ROUND(SUMIF('5.0'!$D:$D,T_BS!D13,'5.0'!$N:$N),0)</f>
        <v>0</v>
      </c>
      <c r="R13" s="210">
        <f>ROUND(SUMIF('6.0'!$D:$D,T_BS!D13,'6.0'!$N:$N),0)</f>
        <v>0</v>
      </c>
      <c r="S13" s="210">
        <f>ROUND(SUMIF('7.0'!$D:$D,T_BS!D13,'7.0'!$I:$I),0)</f>
        <v>0</v>
      </c>
      <c r="T13" s="210">
        <f>ROUND(SUMIF('8.0'!$D:$D,T_BS!D13,'8.0'!$H:$H),0)</f>
        <v>0</v>
      </c>
      <c r="U13" s="15">
        <f>SUM(M13:T13)</f>
        <v>0</v>
      </c>
      <c r="W13" s="39">
        <f>U13+K13</f>
        <v>33786334833</v>
      </c>
      <c r="Y13" s="5"/>
      <c r="AB13" s="39">
        <v>33786334833</v>
      </c>
      <c r="AC13" s="710">
        <f t="shared" si="3"/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 ht="18" customHeight="1">
      <c r="A14" s="5"/>
      <c r="D14" s="13"/>
      <c r="E14" s="34"/>
      <c r="F14" s="35"/>
      <c r="G14" s="34" t="s">
        <v>23</v>
      </c>
      <c r="H14" s="484">
        <f>SUM(H15:H33)</f>
        <v>41568422969</v>
      </c>
      <c r="I14" s="417">
        <f>SUM(I15:I33)</f>
        <v>372437238</v>
      </c>
      <c r="J14" s="417">
        <f>SUM(J15:J33)</f>
        <v>107643520</v>
      </c>
      <c r="K14" s="645">
        <f>SUM(K15:K33)</f>
        <v>42048503727</v>
      </c>
      <c r="M14" s="675">
        <f t="shared" ref="M14:U14" si="5">SUM(M15:M33)</f>
        <v>0</v>
      </c>
      <c r="N14" s="417">
        <f t="shared" si="5"/>
        <v>0</v>
      </c>
      <c r="O14" s="417">
        <f t="shared" si="5"/>
        <v>-1090735376</v>
      </c>
      <c r="P14" s="417">
        <f t="shared" si="5"/>
        <v>0</v>
      </c>
      <c r="Q14" s="417">
        <f t="shared" si="5"/>
        <v>0</v>
      </c>
      <c r="R14" s="417">
        <f t="shared" si="5"/>
        <v>0</v>
      </c>
      <c r="S14" s="417">
        <f t="shared" si="5"/>
        <v>0</v>
      </c>
      <c r="T14" s="417">
        <f t="shared" si="5"/>
        <v>0</v>
      </c>
      <c r="U14" s="645">
        <f t="shared" si="5"/>
        <v>-1090735376</v>
      </c>
      <c r="W14" s="36">
        <f>SUM(W15:W33)</f>
        <v>40957768351</v>
      </c>
      <c r="Y14" s="5"/>
      <c r="AB14" s="36">
        <v>40960289144</v>
      </c>
      <c r="AC14" s="710">
        <f t="shared" si="3"/>
        <v>-2520793</v>
      </c>
      <c r="AE14" s="5">
        <v>-16449913</v>
      </c>
      <c r="AF14" s="5">
        <v>0</v>
      </c>
      <c r="AG14" s="5">
        <v>0</v>
      </c>
      <c r="AH14" s="5">
        <v>13929120</v>
      </c>
      <c r="AI14" s="5">
        <v>-2520793</v>
      </c>
    </row>
    <row r="15" spans="1:35" ht="18" customHeight="1">
      <c r="A15" s="5"/>
      <c r="D15" s="14">
        <v>111711</v>
      </c>
      <c r="E15" s="6" t="s">
        <v>1706</v>
      </c>
      <c r="F15" s="40">
        <v>1201</v>
      </c>
      <c r="G15" s="6" t="s">
        <v>24</v>
      </c>
      <c r="H15" s="5">
        <v>14871757746</v>
      </c>
      <c r="I15" s="211">
        <v>0</v>
      </c>
      <c r="J15" s="211">
        <v>0</v>
      </c>
      <c r="K15" s="15">
        <f t="shared" ref="K15:K32" si="6">SUM(H15:J15)</f>
        <v>14871757746</v>
      </c>
      <c r="M15" s="676">
        <f>SUMIF('1.0'!$D:$D,T_BS!D15,'1.0'!$N:$N)</f>
        <v>0</v>
      </c>
      <c r="N15" s="211">
        <f>SUMIF('2.0'!$D:$D,T_BS!D15,'2.0'!$N:$N)</f>
        <v>0</v>
      </c>
      <c r="O15" s="7">
        <f>ROUND(SUMIF('3.0'!$D:$D,T_BS!D15,'3.0'!$H:$H),0)</f>
        <v>-57500000</v>
      </c>
      <c r="P15" s="210">
        <f>ROUND(SUMIF('4.0'!$D:$D,T_BS!D15,'4.0'!$N:$N),0)</f>
        <v>0</v>
      </c>
      <c r="Q15" s="7">
        <f>ROUND(SUMIF('5.0'!$D:$D,T_BS!D15,'5.0'!$N:$N),0)</f>
        <v>0</v>
      </c>
      <c r="R15" s="210">
        <f>ROUND(SUMIF('6.0'!$D:$D,T_BS!D15,'6.0'!$N:$N),0)</f>
        <v>0</v>
      </c>
      <c r="S15" s="210">
        <f>ROUND(SUMIF('7.0'!$D:$D,T_BS!D15,'7.0'!$I:$I),0)</f>
        <v>0</v>
      </c>
      <c r="T15" s="210">
        <f>ROUND(SUMIF('8.0'!$D:$D,T_BS!D15,'8.0'!$H:$H),0)</f>
        <v>0</v>
      </c>
      <c r="U15" s="15">
        <f t="shared" ref="U15:U70" si="7">SUM(M15:T15)</f>
        <v>-57500000</v>
      </c>
      <c r="W15" s="39">
        <f t="shared" ref="W15:W70" si="8">U15+K15</f>
        <v>14814257746</v>
      </c>
      <c r="Y15" s="5"/>
      <c r="AB15" s="39">
        <v>13405335910</v>
      </c>
      <c r="AC15" s="710">
        <f t="shared" si="3"/>
        <v>1408921836</v>
      </c>
      <c r="AE15" s="5">
        <v>1408921836</v>
      </c>
      <c r="AF15" s="5">
        <v>0</v>
      </c>
      <c r="AG15" s="5">
        <v>0</v>
      </c>
      <c r="AH15" s="5">
        <v>0</v>
      </c>
      <c r="AI15" s="5">
        <v>1408921836</v>
      </c>
    </row>
    <row r="16" spans="1:35" ht="18" customHeight="1">
      <c r="A16" s="5"/>
      <c r="D16" s="14">
        <v>111712</v>
      </c>
      <c r="E16" s="6" t="s">
        <v>1706</v>
      </c>
      <c r="F16" s="40">
        <v>1202</v>
      </c>
      <c r="G16" s="6" t="s">
        <v>25</v>
      </c>
      <c r="H16" s="5">
        <v>-1078470336</v>
      </c>
      <c r="I16" s="211">
        <v>0</v>
      </c>
      <c r="J16" s="211">
        <v>0</v>
      </c>
      <c r="K16" s="15">
        <f t="shared" si="6"/>
        <v>-1078470336</v>
      </c>
      <c r="M16" s="676">
        <f>SUMIF('1.0'!$D:$D,T_BS!D16,'1.0'!$N:$N)</f>
        <v>0</v>
      </c>
      <c r="N16" s="211">
        <f>SUMIF('2.0'!$D:$D,T_BS!D16,'2.0'!$N:$N)</f>
        <v>0</v>
      </c>
      <c r="O16" s="7">
        <f>ROUND(SUMIF('3.0'!$D:$D,T_BS!D16,'3.0'!$H:$H),0)</f>
        <v>0</v>
      </c>
      <c r="P16" s="210">
        <f>ROUND(SUMIF('4.0'!$D:$D,T_BS!D16,'4.0'!$N:$N),0)</f>
        <v>0</v>
      </c>
      <c r="Q16" s="7">
        <f>ROUND(SUMIF('5.0'!$D:$D,T_BS!D16,'5.0'!$N:$N),0)</f>
        <v>0</v>
      </c>
      <c r="R16" s="210">
        <f>ROUND(SUMIF('6.0'!$D:$D,T_BS!D16,'6.0'!$N:$N),0)</f>
        <v>0</v>
      </c>
      <c r="S16" s="210">
        <f>ROUND(SUMIF('7.0'!$D:$D,T_BS!D16,'7.0'!$I:$I),0)</f>
        <v>0</v>
      </c>
      <c r="T16" s="210">
        <f>ROUND(SUMIF('8.0'!$D:$D,T_BS!D16,'8.0'!$H:$H),0)</f>
        <v>0</v>
      </c>
      <c r="U16" s="15">
        <f t="shared" si="7"/>
        <v>0</v>
      </c>
      <c r="W16" s="39">
        <f t="shared" si="8"/>
        <v>-1078470336</v>
      </c>
      <c r="Y16" s="5"/>
      <c r="AB16" s="39">
        <v>-1078470336</v>
      </c>
      <c r="AC16" s="710">
        <f t="shared" si="3"/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ht="18" customHeight="1">
      <c r="A17" s="5"/>
      <c r="D17" s="14">
        <v>111731</v>
      </c>
      <c r="E17" s="6" t="s">
        <v>1706</v>
      </c>
      <c r="F17" s="40">
        <v>1203</v>
      </c>
      <c r="G17" s="6" t="s">
        <v>26</v>
      </c>
      <c r="H17" s="5">
        <v>3624616320</v>
      </c>
      <c r="I17" s="211">
        <v>368837484</v>
      </c>
      <c r="J17" s="211">
        <v>86557055</v>
      </c>
      <c r="K17" s="15">
        <f t="shared" si="6"/>
        <v>4080010859</v>
      </c>
      <c r="M17" s="676">
        <f>SUMIF('1.0'!$D:$D,T_BS!D17,'1.0'!$N:$N)</f>
        <v>0</v>
      </c>
      <c r="N17" s="211">
        <f>SUMIF('2.0'!$D:$D,T_BS!D17,'2.0'!$N:$N)</f>
        <v>0</v>
      </c>
      <c r="O17" s="7">
        <f>ROUND(SUMIF('3.0'!$D:$D,T_BS!D17,'3.0'!$H:$H),0)</f>
        <v>-463781254</v>
      </c>
      <c r="P17" s="210">
        <f>ROUND(SUMIF('4.0'!$D:$D,T_BS!D17,'4.0'!$N:$N),0)</f>
        <v>0</v>
      </c>
      <c r="Q17" s="7">
        <f>ROUND(SUMIF('5.0'!$D:$D,T_BS!D17,'5.0'!$N:$N),0)</f>
        <v>0</v>
      </c>
      <c r="R17" s="210">
        <f>ROUND(SUMIF('6.0'!$D:$D,T_BS!D17,'6.0'!$N:$N),0)</f>
        <v>-282047680</v>
      </c>
      <c r="S17" s="210">
        <f>ROUND(SUMIF('7.0'!$D:$D,T_BS!D17,'7.0'!$I:$I),0)</f>
        <v>0</v>
      </c>
      <c r="T17" s="210">
        <f>ROUND(SUMIF('8.0'!$D:$D,T_BS!D17,'8.0'!$H:$H),0)</f>
        <v>0</v>
      </c>
      <c r="U17" s="15">
        <f t="shared" si="7"/>
        <v>-745828934</v>
      </c>
      <c r="W17" s="39">
        <f t="shared" si="8"/>
        <v>3334181925</v>
      </c>
      <c r="Y17" s="5"/>
      <c r="AB17" s="39">
        <v>3334181925</v>
      </c>
      <c r="AC17" s="710">
        <f t="shared" si="3"/>
        <v>0</v>
      </c>
      <c r="AE17" s="5">
        <v>-13929120</v>
      </c>
      <c r="AF17" s="5">
        <v>0</v>
      </c>
      <c r="AG17" s="5">
        <v>0</v>
      </c>
      <c r="AH17" s="5">
        <v>13929120</v>
      </c>
      <c r="AI17" s="5">
        <v>0</v>
      </c>
    </row>
    <row r="18" spans="1:35" ht="18" customHeight="1">
      <c r="A18" s="5"/>
      <c r="D18" s="14">
        <v>111732</v>
      </c>
      <c r="E18" s="6" t="s">
        <v>1706</v>
      </c>
      <c r="F18" s="40">
        <v>1202</v>
      </c>
      <c r="G18" s="6" t="s">
        <v>27</v>
      </c>
      <c r="H18" s="5">
        <v>-325159394</v>
      </c>
      <c r="I18" s="211">
        <v>0</v>
      </c>
      <c r="J18" s="211">
        <v>0</v>
      </c>
      <c r="K18" s="15">
        <f t="shared" si="6"/>
        <v>-325159394</v>
      </c>
      <c r="M18" s="676">
        <f>SUMIF('1.0'!$D:$D,T_BS!D18,'1.0'!$N:$N)</f>
        <v>0</v>
      </c>
      <c r="N18" s="211">
        <f>SUMIF('2.0'!$D:$D,T_BS!D18,'2.0'!$N:$N)</f>
        <v>0</v>
      </c>
      <c r="O18" s="7">
        <f>ROUND(SUMIF('3.0'!$D:$D,T_BS!D18,'3.0'!$H:$H),0)</f>
        <v>0</v>
      </c>
      <c r="P18" s="210">
        <f>ROUND(SUMIF('4.0'!$D:$D,T_BS!D18,'4.0'!$N:$N),0)</f>
        <v>0</v>
      </c>
      <c r="Q18" s="7">
        <f>ROUND(SUMIF('5.0'!$D:$D,T_BS!D18,'5.0'!$N:$N),0)</f>
        <v>0</v>
      </c>
      <c r="R18" s="210">
        <f>ROUND(SUMIF('6.0'!$D:$D,T_BS!D18,'6.0'!$N:$N),0)</f>
        <v>0</v>
      </c>
      <c r="S18" s="210">
        <f>ROUND(SUMIF('7.0'!$D:$D,T_BS!D18,'7.0'!$I:$I),0)</f>
        <v>0</v>
      </c>
      <c r="T18" s="210">
        <f>ROUND(SUMIF('8.0'!$D:$D,T_BS!D18,'8.0'!$H:$H),0)</f>
        <v>0</v>
      </c>
      <c r="U18" s="15">
        <f t="shared" si="7"/>
        <v>0</v>
      </c>
      <c r="W18" s="39">
        <f t="shared" si="8"/>
        <v>-325159394</v>
      </c>
      <c r="Y18" s="5"/>
      <c r="AB18" s="39">
        <v>-294104542</v>
      </c>
      <c r="AC18" s="710">
        <f t="shared" si="3"/>
        <v>-31054852</v>
      </c>
      <c r="AE18" s="5">
        <v>-31054852</v>
      </c>
      <c r="AF18" s="5">
        <v>0</v>
      </c>
      <c r="AG18" s="5">
        <v>0</v>
      </c>
      <c r="AH18" s="5">
        <v>0</v>
      </c>
      <c r="AI18" s="5">
        <v>-31054852</v>
      </c>
    </row>
    <row r="19" spans="1:35" ht="18" customHeight="1">
      <c r="A19" s="5"/>
      <c r="D19" s="14">
        <v>111761</v>
      </c>
      <c r="E19" s="6" t="s">
        <v>1706</v>
      </c>
      <c r="F19" s="40">
        <v>1201</v>
      </c>
      <c r="G19" s="6" t="s">
        <v>28</v>
      </c>
      <c r="H19" s="5">
        <v>4147637595</v>
      </c>
      <c r="I19" s="211">
        <v>0</v>
      </c>
      <c r="J19" s="211">
        <v>0</v>
      </c>
      <c r="K19" s="15">
        <f t="shared" si="6"/>
        <v>4147637595</v>
      </c>
      <c r="M19" s="676">
        <f>SUMIF('1.0'!$D:$D,T_BS!D19,'1.0'!$N:$N)</f>
        <v>0</v>
      </c>
      <c r="N19" s="211">
        <f>SUMIF('2.0'!$D:$D,T_BS!D19,'2.0'!$N:$N)</f>
        <v>0</v>
      </c>
      <c r="O19" s="7">
        <f>ROUND(SUMIF('3.0'!$D:$D,T_BS!D19,'3.0'!$H:$H),0)</f>
        <v>0</v>
      </c>
      <c r="P19" s="210">
        <f>ROUND(SUMIF('4.0'!$D:$D,T_BS!D19,'4.0'!$N:$N),0)</f>
        <v>0</v>
      </c>
      <c r="Q19" s="7">
        <f>ROUND(SUMIF('5.0'!$D:$D,T_BS!D19,'5.0'!$N:$N),0)</f>
        <v>0</v>
      </c>
      <c r="R19" s="210">
        <f>ROUND(SUMIF('6.0'!$D:$D,T_BS!D19,'6.0'!$N:$N),0)</f>
        <v>0</v>
      </c>
      <c r="S19" s="210">
        <f>ROUND(SUMIF('7.0'!$D:$D,T_BS!D19,'7.0'!$I:$I),0)</f>
        <v>0</v>
      </c>
      <c r="T19" s="210">
        <f>ROUND(SUMIF('8.0'!$D:$D,T_BS!D19,'8.0'!$H:$H),0)</f>
        <v>0</v>
      </c>
      <c r="U19" s="15">
        <f t="shared" si="7"/>
        <v>0</v>
      </c>
      <c r="W19" s="39">
        <f t="shared" si="8"/>
        <v>4147637595</v>
      </c>
      <c r="Y19" s="5"/>
      <c r="AB19" s="39">
        <v>4147637595</v>
      </c>
      <c r="AC19" s="710">
        <f t="shared" si="3"/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</row>
    <row r="20" spans="1:35" ht="18" customHeight="1">
      <c r="A20" s="5"/>
      <c r="D20" s="14">
        <v>111762</v>
      </c>
      <c r="E20" s="6" t="s">
        <v>1706</v>
      </c>
      <c r="F20" s="40">
        <v>1201</v>
      </c>
      <c r="G20" s="6" t="s">
        <v>29</v>
      </c>
      <c r="H20" s="5">
        <v>1134636273</v>
      </c>
      <c r="I20" s="211">
        <v>0</v>
      </c>
      <c r="J20" s="211">
        <v>0</v>
      </c>
      <c r="K20" s="15">
        <f t="shared" si="6"/>
        <v>1134636273</v>
      </c>
      <c r="M20" s="676">
        <f>SUMIF('1.0'!$D:$D,T_BS!D20,'1.0'!$N:$N)</f>
        <v>0</v>
      </c>
      <c r="N20" s="211">
        <f>SUMIF('2.0'!$D:$D,T_BS!D20,'2.0'!$N:$N)</f>
        <v>0</v>
      </c>
      <c r="O20" s="7">
        <f>ROUND(SUMIF('3.0'!$D:$D,T_BS!D20,'3.0'!$H:$H),0)</f>
        <v>0</v>
      </c>
      <c r="P20" s="210">
        <f>ROUND(SUMIF('4.0'!$D:$D,T_BS!D20,'4.0'!$N:$N),0)</f>
        <v>0</v>
      </c>
      <c r="Q20" s="7">
        <f>ROUND(SUMIF('5.0'!$D:$D,T_BS!D20,'5.0'!$N:$N),0)</f>
        <v>0</v>
      </c>
      <c r="R20" s="210">
        <f>ROUND(SUMIF('6.0'!$D:$D,T_BS!D20,'6.0'!$N:$N),0)</f>
        <v>0</v>
      </c>
      <c r="S20" s="210">
        <f>ROUND(SUMIF('7.0'!$D:$D,T_BS!D20,'7.0'!$I:$I),0)</f>
        <v>0</v>
      </c>
      <c r="T20" s="210">
        <f>ROUND(SUMIF('8.0'!$D:$D,T_BS!D20,'8.0'!$H:$H),0)</f>
        <v>0</v>
      </c>
      <c r="U20" s="15">
        <f t="shared" si="7"/>
        <v>0</v>
      </c>
      <c r="W20" s="39">
        <f t="shared" si="8"/>
        <v>1134636273</v>
      </c>
      <c r="Y20" s="5"/>
      <c r="AB20" s="39">
        <v>2549742959</v>
      </c>
      <c r="AC20" s="710">
        <f t="shared" si="3"/>
        <v>-1415106686</v>
      </c>
      <c r="AE20" s="5">
        <v>-1415106686</v>
      </c>
      <c r="AF20" s="5">
        <v>0</v>
      </c>
      <c r="AG20" s="5">
        <v>0</v>
      </c>
      <c r="AH20" s="5">
        <v>0</v>
      </c>
      <c r="AI20" s="5">
        <v>-1415106686</v>
      </c>
    </row>
    <row r="21" spans="1:35" ht="18" customHeight="1">
      <c r="A21" s="5"/>
      <c r="D21" s="14">
        <v>111763</v>
      </c>
      <c r="E21" s="6" t="s">
        <v>1706</v>
      </c>
      <c r="F21" s="40">
        <v>1201</v>
      </c>
      <c r="G21" s="6" t="s">
        <v>30</v>
      </c>
      <c r="H21" s="5">
        <v>0</v>
      </c>
      <c r="I21" s="211">
        <v>0</v>
      </c>
      <c r="J21" s="211">
        <v>0</v>
      </c>
      <c r="K21" s="15">
        <f t="shared" si="6"/>
        <v>0</v>
      </c>
      <c r="M21" s="676">
        <f>SUMIF('1.0'!$D:$D,T_BS!D21,'1.0'!$N:$N)</f>
        <v>0</v>
      </c>
      <c r="N21" s="211">
        <f>SUMIF('2.0'!$D:$D,T_BS!D21,'2.0'!$N:$N)</f>
        <v>0</v>
      </c>
      <c r="O21" s="7">
        <f>ROUND(SUMIF('3.0'!$D:$D,T_BS!D21,'3.0'!$H:$H),0)</f>
        <v>0</v>
      </c>
      <c r="P21" s="210">
        <f>ROUND(SUMIF('4.0'!$D:$D,T_BS!D21,'4.0'!$N:$N),0)</f>
        <v>0</v>
      </c>
      <c r="Q21" s="7">
        <f>ROUND(SUMIF('5.0'!$D:$D,T_BS!D21,'5.0'!$N:$N),0)</f>
        <v>0</v>
      </c>
      <c r="R21" s="210">
        <f>ROUND(SUMIF('6.0'!$D:$D,T_BS!D21,'6.0'!$N:$N),0)</f>
        <v>0</v>
      </c>
      <c r="S21" s="210">
        <f>ROUND(SUMIF('7.0'!$D:$D,T_BS!D21,'7.0'!$I:$I),0)</f>
        <v>0</v>
      </c>
      <c r="T21" s="210">
        <f>ROUND(SUMIF('8.0'!$D:$D,T_BS!D21,'8.0'!$H:$H),0)</f>
        <v>0</v>
      </c>
      <c r="U21" s="15">
        <f t="shared" si="7"/>
        <v>0</v>
      </c>
      <c r="W21" s="39">
        <f t="shared" si="8"/>
        <v>0</v>
      </c>
      <c r="Y21" s="5"/>
      <c r="AB21" s="39">
        <v>0</v>
      </c>
      <c r="AC21" s="710">
        <f t="shared" si="3"/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</row>
    <row r="22" spans="1:35" ht="18" customHeight="1">
      <c r="A22" s="5"/>
      <c r="D22" s="658">
        <v>111911</v>
      </c>
      <c r="E22" s="38" t="s">
        <v>1706</v>
      </c>
      <c r="F22" s="40" t="s">
        <v>612</v>
      </c>
      <c r="G22" s="6" t="s">
        <v>31</v>
      </c>
      <c r="H22" s="5">
        <v>0</v>
      </c>
      <c r="I22" s="211">
        <v>0</v>
      </c>
      <c r="J22" s="211">
        <v>0</v>
      </c>
      <c r="K22" s="15">
        <f t="shared" si="6"/>
        <v>0</v>
      </c>
      <c r="M22" s="676">
        <f>SUMIF('1.0'!$D:$D,T_BS!D22,'1.0'!$N:$N)</f>
        <v>0</v>
      </c>
      <c r="N22" s="211">
        <f>SUMIF('2.0'!$D:$D,T_BS!D22,'2.0'!$N:$N)</f>
        <v>0</v>
      </c>
      <c r="O22" s="7">
        <f>ROUND(SUMIF('3.0'!$D:$D,T_BS!D22,'3.0'!$H:$H),0)</f>
        <v>0</v>
      </c>
      <c r="P22" s="210">
        <f>ROUND(SUMIF('4.0'!$D:$D,T_BS!D22,'4.0'!$N:$N),0)</f>
        <v>0</v>
      </c>
      <c r="Q22" s="7">
        <f>ROUND(SUMIF('5.0'!$D:$D,T_BS!D22,'5.0'!$N:$N),0)</f>
        <v>0</v>
      </c>
      <c r="R22" s="210">
        <f>ROUND(SUMIF('6.0'!$D:$D,T_BS!D22,'6.0'!$N:$N),0)</f>
        <v>0</v>
      </c>
      <c r="S22" s="210">
        <f>ROUND(SUMIF('7.0'!$D:$D,T_BS!D22,'7.0'!$I:$I),0)</f>
        <v>0</v>
      </c>
      <c r="T22" s="210">
        <f>ROUND(SUMIF('8.0'!$D:$D,T_BS!D22,'8.0'!$H:$H),0)</f>
        <v>0</v>
      </c>
      <c r="U22" s="15">
        <f t="shared" si="7"/>
        <v>0</v>
      </c>
      <c r="W22" s="39">
        <f t="shared" si="8"/>
        <v>0</v>
      </c>
      <c r="Y22" s="5"/>
      <c r="AB22" s="39">
        <v>0</v>
      </c>
      <c r="AC22" s="710">
        <f t="shared" si="3"/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1:35" ht="18" customHeight="1">
      <c r="A23" s="5"/>
      <c r="B23" s="276"/>
      <c r="D23" s="658" t="s">
        <v>1798</v>
      </c>
      <c r="E23" s="38" t="s">
        <v>1706</v>
      </c>
      <c r="F23" s="40">
        <v>1221</v>
      </c>
      <c r="G23" s="6" t="s">
        <v>1604</v>
      </c>
      <c r="H23" s="5">
        <v>527130000</v>
      </c>
      <c r="I23" s="211">
        <v>0</v>
      </c>
      <c r="J23" s="211">
        <v>0</v>
      </c>
      <c r="K23" s="15">
        <f t="shared" si="6"/>
        <v>527130000</v>
      </c>
      <c r="M23" s="676">
        <f>SUMIF('1.0'!$D:$D,T_BS!D23,'1.0'!$N:$N)</f>
        <v>0</v>
      </c>
      <c r="N23" s="211">
        <f>SUMIF('2.0'!$D:$D,T_BS!D23,'2.0'!$N:$N)</f>
        <v>0</v>
      </c>
      <c r="O23" s="7">
        <f>ROUND(SUMIF('3.0'!$D:$D,T_BS!D23,'3.0'!$H:$H),0)</f>
        <v>-527130000</v>
      </c>
      <c r="P23" s="210">
        <f>ROUND(SUMIF('4.0'!$D:$D,T_BS!D23,'4.0'!$N:$N),0)</f>
        <v>0</v>
      </c>
      <c r="Q23" s="7">
        <f>ROUND(SUMIF('5.0'!$D:$D,T_BS!D23,'5.0'!$N:$N),0)</f>
        <v>0</v>
      </c>
      <c r="R23" s="210">
        <f>ROUND(SUMIF('6.0'!$D:$D,T_BS!D23,'6.0'!$N:$N),0)</f>
        <v>0</v>
      </c>
      <c r="S23" s="210">
        <f>ROUND(SUMIF('7.0'!$D:$D,T_BS!D23,'7.0'!$I:$I),0)</f>
        <v>0</v>
      </c>
      <c r="T23" s="210">
        <f>ROUND(SUMIF('8.0'!$D:$D,T_BS!D23,'8.0'!$H:$H),0)</f>
        <v>0</v>
      </c>
      <c r="U23" s="15">
        <f t="shared" si="7"/>
        <v>-527130000</v>
      </c>
      <c r="W23" s="39">
        <f t="shared" si="8"/>
        <v>0</v>
      </c>
      <c r="Y23" s="5"/>
      <c r="AB23" s="39">
        <v>0</v>
      </c>
      <c r="AC23" s="710">
        <f t="shared" si="3"/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</row>
    <row r="24" spans="1:35" ht="18" customHeight="1">
      <c r="A24" s="5"/>
      <c r="D24" s="658">
        <v>112111</v>
      </c>
      <c r="E24" s="38" t="s">
        <v>1706</v>
      </c>
      <c r="F24" s="40">
        <v>1208</v>
      </c>
      <c r="G24" s="6" t="s">
        <v>32</v>
      </c>
      <c r="H24" s="5">
        <v>6350328880</v>
      </c>
      <c r="I24" s="211">
        <v>0</v>
      </c>
      <c r="J24" s="211">
        <v>0</v>
      </c>
      <c r="K24" s="15">
        <f t="shared" si="6"/>
        <v>6350328880</v>
      </c>
      <c r="M24" s="676">
        <f>SUMIF('1.0'!$D:$D,T_BS!D24,'1.0'!$N:$N)</f>
        <v>0</v>
      </c>
      <c r="N24" s="211">
        <f>SUMIF('2.0'!$D:$D,T_BS!D24,'2.0'!$N:$N)</f>
        <v>0</v>
      </c>
      <c r="O24" s="7">
        <f>ROUND(SUMIF('3.0'!$D:$D,T_BS!D24,'3.0'!$H:$H),0)</f>
        <v>0</v>
      </c>
      <c r="P24" s="210">
        <f>ROUND(SUMIF('4.0'!$D:$D,T_BS!D24,'4.0'!$N:$N),0)</f>
        <v>0</v>
      </c>
      <c r="Q24" s="7">
        <f>ROUND(SUMIF('5.0'!$D:$D,T_BS!D24,'5.0'!$N:$N),0)</f>
        <v>0</v>
      </c>
      <c r="R24" s="210">
        <f>ROUND(SUMIF('6.0'!$D:$D,T_BS!D24,'6.0'!$N:$N),0)</f>
        <v>0</v>
      </c>
      <c r="S24" s="210">
        <f>ROUND(SUMIF('7.0'!$D:$D,T_BS!D24,'7.0'!$I:$I),0)</f>
        <v>0</v>
      </c>
      <c r="T24" s="210">
        <f>ROUND(SUMIF('8.0'!$D:$D,T_BS!D24,'8.0'!$H:$H),0)</f>
        <v>0</v>
      </c>
      <c r="U24" s="15">
        <f t="shared" si="7"/>
        <v>0</v>
      </c>
      <c r="W24" s="39">
        <f t="shared" si="8"/>
        <v>6350328880</v>
      </c>
      <c r="Y24" s="5"/>
      <c r="AB24" s="39">
        <v>6366693608</v>
      </c>
      <c r="AC24" s="710">
        <f t="shared" si="3"/>
        <v>-16364728</v>
      </c>
      <c r="AE24" s="5">
        <v>-16364728</v>
      </c>
      <c r="AF24" s="5">
        <v>0</v>
      </c>
      <c r="AG24" s="5">
        <v>0</v>
      </c>
      <c r="AH24" s="5">
        <v>0</v>
      </c>
      <c r="AI24" s="5">
        <v>-16364728</v>
      </c>
    </row>
    <row r="25" spans="1:35" ht="18" customHeight="1">
      <c r="A25" s="5"/>
      <c r="D25" s="658">
        <v>112113</v>
      </c>
      <c r="E25" s="38" t="s">
        <v>1706</v>
      </c>
      <c r="F25" s="40">
        <v>1208</v>
      </c>
      <c r="G25" s="6" t="s">
        <v>33</v>
      </c>
      <c r="H25" s="5">
        <v>29826534</v>
      </c>
      <c r="I25" s="211">
        <v>3599754</v>
      </c>
      <c r="J25" s="211">
        <v>21086465</v>
      </c>
      <c r="K25" s="15">
        <f t="shared" si="6"/>
        <v>54512753</v>
      </c>
      <c r="M25" s="676">
        <f>SUMIF('1.0'!$D:$D,T_BS!D25,'1.0'!$N:$N)</f>
        <v>0</v>
      </c>
      <c r="N25" s="211">
        <f>SUMIF('2.0'!$D:$D,T_BS!D25,'2.0'!$N:$N)</f>
        <v>0</v>
      </c>
      <c r="O25" s="7">
        <f>ROUND(SUMIF('3.0'!$D:$D,T_BS!D25,'3.0'!$H:$H),0)</f>
        <v>-29826534</v>
      </c>
      <c r="P25" s="210">
        <f>ROUND(SUMIF('4.0'!$D:$D,T_BS!D25,'4.0'!$N:$N),0)</f>
        <v>0</v>
      </c>
      <c r="Q25" s="7">
        <f>ROUND(SUMIF('5.0'!$D:$D,T_BS!D25,'5.0'!$N:$N),0)</f>
        <v>0</v>
      </c>
      <c r="R25" s="210">
        <f>ROUND(SUMIF('6.0'!$D:$D,T_BS!D25,'6.0'!$N:$N),0)</f>
        <v>282047680</v>
      </c>
      <c r="S25" s="210">
        <f>ROUND(SUMIF('7.0'!$D:$D,T_BS!D25,'7.0'!$I:$I),0)</f>
        <v>0</v>
      </c>
      <c r="T25" s="210">
        <f>ROUND(SUMIF('8.0'!$D:$D,T_BS!D25,'8.0'!$H:$H),0)</f>
        <v>0</v>
      </c>
      <c r="U25" s="15">
        <f t="shared" si="7"/>
        <v>252221146</v>
      </c>
      <c r="W25" s="39">
        <f t="shared" si="8"/>
        <v>306733899</v>
      </c>
      <c r="Y25" s="5"/>
      <c r="AB25" s="39">
        <v>306733899</v>
      </c>
      <c r="AC25" s="710">
        <f t="shared" si="3"/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</row>
    <row r="26" spans="1:35" ht="18" customHeight="1">
      <c r="A26" s="5"/>
      <c r="D26" s="14">
        <v>112115</v>
      </c>
      <c r="E26" s="6" t="s">
        <v>1706</v>
      </c>
      <c r="F26" s="40">
        <v>1208</v>
      </c>
      <c r="G26" s="6" t="s">
        <v>34</v>
      </c>
      <c r="H26" s="5">
        <v>4594000000</v>
      </c>
      <c r="I26" s="211">
        <v>0</v>
      </c>
      <c r="J26" s="211">
        <v>0</v>
      </c>
      <c r="K26" s="15">
        <f t="shared" si="6"/>
        <v>4594000000</v>
      </c>
      <c r="M26" s="676">
        <f>SUMIF('1.0'!$D:$D,T_BS!D26,'1.0'!$N:$N)</f>
        <v>0</v>
      </c>
      <c r="N26" s="211">
        <f>SUMIF('2.0'!$D:$D,T_BS!D26,'2.0'!$N:$N)</f>
        <v>0</v>
      </c>
      <c r="O26" s="7">
        <f>ROUND(SUMIF('3.0'!$D:$D,T_BS!D26,'3.0'!$H:$H),0)</f>
        <v>0</v>
      </c>
      <c r="P26" s="210">
        <f>ROUND(SUMIF('4.0'!$D:$D,T_BS!D26,'4.0'!$N:$N),0)</f>
        <v>0</v>
      </c>
      <c r="Q26" s="7">
        <f>ROUND(SUMIF('5.0'!$D:$D,T_BS!D26,'5.0'!$N:$N),0)</f>
        <v>0</v>
      </c>
      <c r="R26" s="210">
        <f>ROUND(SUMIF('6.0'!$D:$D,T_BS!D26,'6.0'!$N:$N),0)</f>
        <v>0</v>
      </c>
      <c r="S26" s="210">
        <f>ROUND(SUMIF('7.0'!$D:$D,T_BS!D26,'7.0'!$I:$I),0)</f>
        <v>0</v>
      </c>
      <c r="T26" s="210">
        <f>ROUND(SUMIF('8.0'!$D:$D,T_BS!D26,'8.0'!$H:$H),0)</f>
        <v>0</v>
      </c>
      <c r="U26" s="15">
        <f t="shared" si="7"/>
        <v>0</v>
      </c>
      <c r="W26" s="39">
        <f t="shared" si="8"/>
        <v>4594000000</v>
      </c>
      <c r="Y26" s="5"/>
      <c r="AB26" s="39">
        <v>4594000000</v>
      </c>
      <c r="AC26" s="710">
        <f t="shared" si="3"/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</row>
    <row r="27" spans="1:35" ht="18" customHeight="1">
      <c r="A27" s="5"/>
      <c r="D27" s="14" t="s">
        <v>1860</v>
      </c>
      <c r="E27" s="6" t="s">
        <v>1706</v>
      </c>
      <c r="F27" s="40">
        <v>1209</v>
      </c>
      <c r="G27" s="6" t="s">
        <v>2283</v>
      </c>
      <c r="H27" s="5">
        <v>-4200000000</v>
      </c>
      <c r="I27" s="211">
        <v>0</v>
      </c>
      <c r="J27" s="211">
        <v>0</v>
      </c>
      <c r="K27" s="15">
        <f t="shared" si="6"/>
        <v>-4200000000</v>
      </c>
      <c r="M27" s="676">
        <f>SUMIF('1.0'!$D:$D,T_BS!D27,'1.0'!$N:$N)</f>
        <v>0</v>
      </c>
      <c r="N27" s="211">
        <f>SUMIF('2.0'!$D:$D,T_BS!D27,'2.0'!$N:$N)</f>
        <v>0</v>
      </c>
      <c r="O27" s="7">
        <f>ROUND(SUMIF('3.0'!$D:$D,T_BS!D27,'3.0'!$H:$H),0)</f>
        <v>0</v>
      </c>
      <c r="P27" s="210">
        <f>ROUND(SUMIF('4.0'!$D:$D,T_BS!D27,'4.0'!$N:$N),0)</f>
        <v>0</v>
      </c>
      <c r="Q27" s="7">
        <f>ROUND(SUMIF('5.0'!$D:$D,T_BS!D27,'5.0'!$N:$N),0)</f>
        <v>0</v>
      </c>
      <c r="R27" s="210">
        <f>ROUND(SUMIF('6.0'!$D:$D,T_BS!D27,'6.0'!$N:$N),0)</f>
        <v>0</v>
      </c>
      <c r="S27" s="210">
        <f>ROUND(SUMIF('7.0'!$D:$D,T_BS!D27,'7.0'!$I:$I),0)</f>
        <v>0</v>
      </c>
      <c r="T27" s="210">
        <f>ROUND(SUMIF('8.0'!$D:$D,T_BS!D27,'8.0'!$H:$H),0)</f>
        <v>0</v>
      </c>
      <c r="U27" s="15">
        <f>SUM(M27:T27)</f>
        <v>0</v>
      </c>
      <c r="W27" s="39">
        <f t="shared" si="8"/>
        <v>-4200000000</v>
      </c>
      <c r="Y27" s="5"/>
      <c r="AB27" s="39">
        <v>-4200000000</v>
      </c>
      <c r="AC27" s="710">
        <f t="shared" si="3"/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1:35" ht="18" customHeight="1">
      <c r="A28" s="5"/>
      <c r="D28" s="14">
        <v>112116</v>
      </c>
      <c r="E28" s="6" t="s">
        <v>1706</v>
      </c>
      <c r="F28" s="40">
        <v>1208</v>
      </c>
      <c r="G28" s="6" t="s">
        <v>35</v>
      </c>
      <c r="H28" s="5">
        <v>0</v>
      </c>
      <c r="I28" s="211">
        <v>0</v>
      </c>
      <c r="J28" s="211">
        <v>0</v>
      </c>
      <c r="K28" s="15">
        <f t="shared" si="6"/>
        <v>0</v>
      </c>
      <c r="M28" s="676">
        <f>SUMIF('1.0'!$D:$D,T_BS!D28,'1.0'!$N:$N)</f>
        <v>0</v>
      </c>
      <c r="N28" s="211">
        <f>SUMIF('2.0'!$D:$D,T_BS!D28,'2.0'!$N:$N)</f>
        <v>0</v>
      </c>
      <c r="O28" s="7">
        <f>ROUND(SUMIF('3.0'!$D:$D,T_BS!D28,'3.0'!$H:$H),0)</f>
        <v>0</v>
      </c>
      <c r="P28" s="210">
        <f>ROUND(SUMIF('4.0'!$D:$D,T_BS!D28,'4.0'!$N:$N),0)</f>
        <v>0</v>
      </c>
      <c r="Q28" s="7">
        <f>ROUND(SUMIF('5.0'!$D:$D,T_BS!D28,'5.0'!$N:$N),0)</f>
        <v>0</v>
      </c>
      <c r="R28" s="210">
        <f>ROUND(SUMIF('6.0'!$D:$D,T_BS!D28,'6.0'!$N:$N),0)</f>
        <v>0</v>
      </c>
      <c r="S28" s="210">
        <f>ROUND(SUMIF('7.0'!$D:$D,T_BS!D28,'7.0'!$I:$I),0)</f>
        <v>0</v>
      </c>
      <c r="T28" s="210">
        <f>ROUND(SUMIF('8.0'!$D:$D,T_BS!D28,'8.0'!$H:$H),0)</f>
        <v>0</v>
      </c>
      <c r="U28" s="15">
        <f>SUM(M28:T28)</f>
        <v>0</v>
      </c>
      <c r="W28" s="39">
        <f t="shared" si="8"/>
        <v>0</v>
      </c>
      <c r="Y28" s="5"/>
      <c r="AB28" s="39">
        <v>0</v>
      </c>
      <c r="AC28" s="710">
        <f t="shared" si="3"/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1:35" s="386" customFormat="1" ht="18" customHeight="1">
      <c r="A29" s="238"/>
      <c r="B29" s="38"/>
      <c r="C29" s="38"/>
      <c r="D29" s="658">
        <v>112540</v>
      </c>
      <c r="E29" s="38" t="s">
        <v>1706</v>
      </c>
      <c r="F29" s="37">
        <v>1208</v>
      </c>
      <c r="G29" s="38" t="s">
        <v>1899</v>
      </c>
      <c r="H29" s="5">
        <v>11873580780</v>
      </c>
      <c r="I29" s="211">
        <v>0</v>
      </c>
      <c r="J29" s="211">
        <v>0</v>
      </c>
      <c r="K29" s="677">
        <f t="shared" si="6"/>
        <v>11873580780</v>
      </c>
      <c r="M29" s="676">
        <f>SUMIF('1.0'!$D:$D,T_BS!D29,'1.0'!$N:$N)</f>
        <v>0</v>
      </c>
      <c r="N29" s="211">
        <f>SUMIF('2.0'!$D:$D,T_BS!D29,'2.0'!$N:$N)</f>
        <v>0</v>
      </c>
      <c r="O29" s="211">
        <f>ROUND(SUMIF('3.0'!$D:$D,T_BS!D29,'3.0'!$H:$H),0)</f>
        <v>0</v>
      </c>
      <c r="P29" s="210">
        <f>ROUND(SUMIF('4.0'!$D:$D,T_BS!D29,'4.0'!$N:$N),0)</f>
        <v>0</v>
      </c>
      <c r="Q29" s="211">
        <f>ROUND(SUMIF('5.0'!$D:$D,T_BS!D29,'5.0'!$N:$N),0)</f>
        <v>0</v>
      </c>
      <c r="R29" s="210">
        <f>ROUND(SUMIF('6.0'!$D:$D,T_BS!D29,'6.0'!$N:$N),0)</f>
        <v>0</v>
      </c>
      <c r="S29" s="210">
        <f>ROUND(SUMIF('7.0'!$D:$D,T_BS!D29,'7.0'!$I:$I),0)</f>
        <v>0</v>
      </c>
      <c r="T29" s="210">
        <f>ROUND(SUMIF('8.0'!$D:$D,T_BS!D29,'8.0'!$H:$H),0)</f>
        <v>0</v>
      </c>
      <c r="U29" s="677">
        <f>SUM(M29:T29)</f>
        <v>0</v>
      </c>
      <c r="W29" s="425">
        <f t="shared" si="8"/>
        <v>11873580780</v>
      </c>
      <c r="Y29" s="5"/>
      <c r="AB29" s="425">
        <v>11873580780</v>
      </c>
      <c r="AC29" s="710">
        <f t="shared" si="3"/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1:35" ht="18" customHeight="1">
      <c r="A30" s="5"/>
      <c r="B30" s="6" t="s">
        <v>1946</v>
      </c>
      <c r="D30" s="14">
        <v>112300</v>
      </c>
      <c r="E30" s="38" t="s">
        <v>1706</v>
      </c>
      <c r="F30" s="40">
        <v>1212</v>
      </c>
      <c r="G30" s="6" t="s">
        <v>1944</v>
      </c>
      <c r="H30" s="5">
        <v>6040983</v>
      </c>
      <c r="I30" s="211">
        <v>0</v>
      </c>
      <c r="J30" s="211">
        <v>0</v>
      </c>
      <c r="K30" s="15">
        <f t="shared" si="6"/>
        <v>6040983</v>
      </c>
      <c r="M30" s="676">
        <f>SUMIF('1.0'!$D:$D,T_BS!D30,'1.0'!$N:$N)</f>
        <v>0</v>
      </c>
      <c r="N30" s="211">
        <f>SUMIF('2.0'!$D:$D,T_BS!D30,'2.0'!$N:$N)</f>
        <v>0</v>
      </c>
      <c r="O30" s="7">
        <f>ROUND(SUMIF('3.0'!$D:$D,T_BS!D30,'3.0'!$H:$H),0)</f>
        <v>0</v>
      </c>
      <c r="P30" s="210">
        <f>ROUND(SUMIF('4.0'!$D:$D,T_BS!D30,'4.0'!$N:$N),0)</f>
        <v>0</v>
      </c>
      <c r="Q30" s="7">
        <f>ROUND(SUMIF('5.0'!$D:$D,T_BS!D30,'5.0'!$N:$N),0)</f>
        <v>0</v>
      </c>
      <c r="R30" s="210">
        <f>ROUND(SUMIF('6.0'!$D:$D,T_BS!D30,'6.0'!$N:$N),0)</f>
        <v>0</v>
      </c>
      <c r="S30" s="210">
        <f>ROUND(SUMIF('7.0'!$D:$D,T_BS!D30,'7.0'!$I:$I),0)</f>
        <v>0</v>
      </c>
      <c r="T30" s="210">
        <f>ROUND(SUMIF('8.0'!$D:$D,T_BS!D30,'8.0'!$H:$H),0)</f>
        <v>0</v>
      </c>
      <c r="U30" s="15">
        <f t="shared" si="7"/>
        <v>0</v>
      </c>
      <c r="W30" s="39">
        <f t="shared" si="8"/>
        <v>6040983</v>
      </c>
      <c r="Y30" s="5"/>
      <c r="AB30" s="39">
        <v>6040983</v>
      </c>
      <c r="AC30" s="710">
        <f t="shared" si="3"/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</row>
    <row r="31" spans="1:35" ht="18" customHeight="1">
      <c r="A31" s="5"/>
      <c r="B31" s="6" t="s">
        <v>1946</v>
      </c>
      <c r="D31" s="14">
        <v>112302</v>
      </c>
      <c r="E31" s="38" t="s">
        <v>1706</v>
      </c>
      <c r="F31" s="40">
        <v>1212</v>
      </c>
      <c r="G31" s="6" t="s">
        <v>1945</v>
      </c>
      <c r="H31" s="5">
        <v>12497588</v>
      </c>
      <c r="I31" s="211">
        <v>0</v>
      </c>
      <c r="J31" s="211">
        <v>0</v>
      </c>
      <c r="K31" s="15">
        <f>SUM(H31:J31)</f>
        <v>12497588</v>
      </c>
      <c r="M31" s="676">
        <f>SUMIF('1.0'!$D:$D,T_BS!D31,'1.0'!$N:$N)</f>
        <v>0</v>
      </c>
      <c r="N31" s="211">
        <f>SUMIF('2.0'!$D:$D,T_BS!D31,'2.0'!$N:$N)</f>
        <v>0</v>
      </c>
      <c r="O31" s="7">
        <f>ROUND(SUMIF('3.0'!$D:$D,T_BS!D31,'3.0'!$H:$H),0)</f>
        <v>-12497588</v>
      </c>
      <c r="P31" s="210">
        <f>ROUND(SUMIF('4.0'!$D:$D,T_BS!D31,'4.0'!$N:$N),0)</f>
        <v>0</v>
      </c>
      <c r="Q31" s="7">
        <f>ROUND(SUMIF('5.0'!$D:$D,T_BS!D31,'5.0'!$N:$N),0)</f>
        <v>0</v>
      </c>
      <c r="R31" s="210">
        <f>ROUND(SUMIF('6.0'!$D:$D,T_BS!D31,'6.0'!$N:$N),0)</f>
        <v>0</v>
      </c>
      <c r="S31" s="210">
        <f>ROUND(SUMIF('7.0'!$D:$D,T_BS!D31,'7.0'!$I:$I),0)</f>
        <v>0</v>
      </c>
      <c r="T31" s="210">
        <f>ROUND(SUMIF('8.0'!$D:$D,T_BS!D31,'8.0'!$H:$H),0)</f>
        <v>0</v>
      </c>
      <c r="U31" s="15">
        <f>SUM(M31:T31)</f>
        <v>-12497588</v>
      </c>
      <c r="W31" s="39">
        <f>U31+K31</f>
        <v>0</v>
      </c>
      <c r="Y31" s="5"/>
      <c r="AB31" s="39">
        <v>0</v>
      </c>
      <c r="AC31" s="710">
        <f t="shared" si="3"/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1:35" ht="18" customHeight="1">
      <c r="A32" s="5"/>
      <c r="D32" s="14">
        <v>113310</v>
      </c>
      <c r="E32" s="6" t="s">
        <v>1706</v>
      </c>
      <c r="F32" s="40">
        <v>1213</v>
      </c>
      <c r="G32" s="6" t="s">
        <v>37</v>
      </c>
      <c r="H32" s="5">
        <v>0</v>
      </c>
      <c r="I32" s="211">
        <v>0</v>
      </c>
      <c r="J32" s="211">
        <v>0</v>
      </c>
      <c r="K32" s="15">
        <f t="shared" si="6"/>
        <v>0</v>
      </c>
      <c r="M32" s="676">
        <f>SUMIF('1.0'!$D:$D,T_BS!D32,'1.0'!$N:$N)</f>
        <v>0</v>
      </c>
      <c r="N32" s="211">
        <f>SUMIF('2.0'!$D:$D,T_BS!D32,'2.0'!$N:$N)</f>
        <v>0</v>
      </c>
      <c r="O32" s="7">
        <f>ROUND(SUMIF('3.0'!$D:$D,T_BS!D32,'3.0'!$H:$H),0)</f>
        <v>0</v>
      </c>
      <c r="P32" s="210">
        <f>ROUND(SUMIF('4.0'!$D:$D,T_BS!D32,'4.0'!$N:$N),0)</f>
        <v>0</v>
      </c>
      <c r="Q32" s="7">
        <f>ROUND(SUMIF('5.0'!$D:$D,T_BS!D32,'5.0'!$N:$N),0)</f>
        <v>0</v>
      </c>
      <c r="R32" s="210">
        <f>ROUND(SUMIF('6.0'!$D:$D,T_BS!D32,'6.0'!$N:$N),0)</f>
        <v>0</v>
      </c>
      <c r="S32" s="210">
        <f>ROUND(SUMIF('7.0'!$D:$D,T_BS!D32,'7.0'!$I:$I),0)</f>
        <v>0</v>
      </c>
      <c r="T32" s="210">
        <f>ROUND(SUMIF('8.0'!$D:$D,T_BS!D32,'8.0'!$H:$H),0)</f>
        <v>0</v>
      </c>
      <c r="U32" s="15">
        <f t="shared" si="7"/>
        <v>0</v>
      </c>
      <c r="W32" s="39">
        <f t="shared" si="8"/>
        <v>0</v>
      </c>
      <c r="Y32" s="5"/>
      <c r="AB32" s="39">
        <v>0</v>
      </c>
      <c r="AC32" s="710">
        <f t="shared" si="3"/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1:35" ht="18" customHeight="1">
      <c r="A33" s="5"/>
      <c r="D33" s="14">
        <v>113320</v>
      </c>
      <c r="E33" s="6" t="s">
        <v>1706</v>
      </c>
      <c r="F33" s="40">
        <v>1213</v>
      </c>
      <c r="G33" s="6" t="s">
        <v>2055</v>
      </c>
      <c r="H33" s="5">
        <v>0</v>
      </c>
      <c r="I33" s="211">
        <v>0</v>
      </c>
      <c r="J33" s="211">
        <v>0</v>
      </c>
      <c r="K33" s="15">
        <f>SUM(H33:J33)</f>
        <v>0</v>
      </c>
      <c r="M33" s="676">
        <f>SUMIF('1.0'!$D:$D,T_BS!D33,'1.0'!$N:$N)</f>
        <v>0</v>
      </c>
      <c r="N33" s="211">
        <f>SUMIF('2.0'!$D:$D,T_BS!D33,'2.0'!$N:$N)</f>
        <v>0</v>
      </c>
      <c r="O33" s="7">
        <f>ROUND(SUMIF('3.0'!$D:$D,T_BS!D33,'3.0'!$H:$H),0)</f>
        <v>0</v>
      </c>
      <c r="P33" s="210">
        <f>ROUND(SUMIF('4.0'!$D:$D,T_BS!D33,'4.0'!$N:$N),0)</f>
        <v>0</v>
      </c>
      <c r="Q33" s="7">
        <f>ROUND(SUMIF('5.0'!$D:$D,T_BS!D33,'5.0'!$N:$N),0)</f>
        <v>0</v>
      </c>
      <c r="R33" s="210">
        <f>ROUND(SUMIF('6.0'!$D:$D,T_BS!D33,'6.0'!$N:$N),0)</f>
        <v>0</v>
      </c>
      <c r="S33" s="210">
        <f>ROUND(SUMIF('7.0'!$D:$D,T_BS!D33,'7.0'!$I:$I),0)</f>
        <v>0</v>
      </c>
      <c r="T33" s="210">
        <f>ROUND(SUMIF('8.0'!$D:$D,T_BS!D33,'8.0'!$H:$H),0)</f>
        <v>0</v>
      </c>
      <c r="U33" s="15">
        <f>SUM(M33:T33)</f>
        <v>0</v>
      </c>
      <c r="W33" s="39">
        <f>U33+K33</f>
        <v>0</v>
      </c>
      <c r="Y33" s="5"/>
      <c r="AB33" s="39">
        <v>-51083637</v>
      </c>
      <c r="AC33" s="710">
        <f t="shared" si="3"/>
        <v>51083637</v>
      </c>
      <c r="AE33" s="5">
        <v>51083637</v>
      </c>
      <c r="AF33" s="5">
        <v>0</v>
      </c>
      <c r="AG33" s="5">
        <v>0</v>
      </c>
      <c r="AH33" s="5">
        <v>0</v>
      </c>
      <c r="AI33" s="5">
        <v>51083637</v>
      </c>
    </row>
    <row r="34" spans="1:35" ht="18" customHeight="1">
      <c r="A34" s="5"/>
      <c r="D34" s="41"/>
      <c r="E34" s="34"/>
      <c r="F34" s="35"/>
      <c r="G34" s="42" t="s">
        <v>38</v>
      </c>
      <c r="H34" s="484">
        <v>0</v>
      </c>
      <c r="I34" s="417">
        <f>SUM(I35:I38)</f>
        <v>0</v>
      </c>
      <c r="J34" s="417">
        <f>SUM(J35:J38)</f>
        <v>0</v>
      </c>
      <c r="K34" s="645">
        <f>SUM(K35:K38)</f>
        <v>0</v>
      </c>
      <c r="M34" s="675">
        <f t="shared" ref="M34:R34" si="9">SUM(M35:M38)</f>
        <v>0</v>
      </c>
      <c r="N34" s="417">
        <f t="shared" si="9"/>
        <v>0</v>
      </c>
      <c r="O34" s="417">
        <f t="shared" si="9"/>
        <v>0</v>
      </c>
      <c r="P34" s="417">
        <f t="shared" si="9"/>
        <v>0</v>
      </c>
      <c r="Q34" s="417">
        <f t="shared" si="9"/>
        <v>0</v>
      </c>
      <c r="R34" s="417">
        <f t="shared" si="9"/>
        <v>0</v>
      </c>
      <c r="S34" s="417">
        <f>SUM(S35:S38)</f>
        <v>0</v>
      </c>
      <c r="T34" s="417">
        <f>SUM(T35:T38)</f>
        <v>0</v>
      </c>
      <c r="U34" s="645">
        <f>SUM(U35:U38)</f>
        <v>0</v>
      </c>
      <c r="W34" s="36">
        <f>SUM(W35:W38)</f>
        <v>0</v>
      </c>
      <c r="Y34" s="5"/>
      <c r="AB34" s="36">
        <v>0</v>
      </c>
      <c r="AC34" s="710">
        <f t="shared" si="3"/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1:35" ht="18" customHeight="1">
      <c r="A35" s="5"/>
      <c r="D35" s="14">
        <v>111391</v>
      </c>
      <c r="E35" s="6" t="s">
        <v>38</v>
      </c>
      <c r="F35" s="40"/>
      <c r="G35" s="6" t="s">
        <v>39</v>
      </c>
      <c r="H35" s="5">
        <v>0</v>
      </c>
      <c r="I35" s="211">
        <v>0</v>
      </c>
      <c r="J35" s="211">
        <v>0</v>
      </c>
      <c r="K35" s="15">
        <f>SUM(H35:J35)</f>
        <v>0</v>
      </c>
      <c r="M35" s="676">
        <f>SUMIF('1.0'!$D:$D,T_BS!D35,'1.0'!$N:$N)</f>
        <v>0</v>
      </c>
      <c r="N35" s="211">
        <f>SUMIF('2.0'!$D:$D,T_BS!D35,'2.0'!$N:$N)</f>
        <v>0</v>
      </c>
      <c r="O35" s="7">
        <f>ROUND(SUMIF('3.0'!$D:$D,T_BS!D35,'3.0'!$H:$H),0)</f>
        <v>0</v>
      </c>
      <c r="P35" s="210">
        <f>ROUND(SUMIF('4.0'!$D:$D,T_BS!D35,'4.0'!$N:$N),0)</f>
        <v>0</v>
      </c>
      <c r="Q35" s="7">
        <f>ROUND(SUMIF('5.0'!$D:$D,T_BS!D35,'5.0'!$N:$N),0)</f>
        <v>0</v>
      </c>
      <c r="R35" s="210">
        <f>ROUND(SUMIF('6.0'!$D:$D,T_BS!D35,'6.0'!$N:$N),0)</f>
        <v>0</v>
      </c>
      <c r="S35" s="210">
        <f>ROUND(SUMIF('7.0'!$D:$D,T_BS!D35,'7.0'!$I:$I),0)</f>
        <v>0</v>
      </c>
      <c r="T35" s="210">
        <f>ROUND(SUMIF('8.0'!$D:$D,T_BS!D35,'8.0'!$H:$H),0)</f>
        <v>0</v>
      </c>
      <c r="U35" s="15">
        <f t="shared" si="7"/>
        <v>0</v>
      </c>
      <c r="W35" s="39">
        <f t="shared" si="8"/>
        <v>0</v>
      </c>
      <c r="Y35" s="5"/>
      <c r="AB35" s="39">
        <v>0</v>
      </c>
      <c r="AC35" s="710">
        <f t="shared" si="3"/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</row>
    <row r="36" spans="1:35" ht="18" customHeight="1">
      <c r="A36" s="5"/>
      <c r="D36" s="14">
        <v>111410</v>
      </c>
      <c r="E36" s="6" t="s">
        <v>38</v>
      </c>
      <c r="F36" s="40">
        <v>1501</v>
      </c>
      <c r="G36" s="6" t="s">
        <v>40</v>
      </c>
      <c r="H36" s="5">
        <v>0</v>
      </c>
      <c r="I36" s="211">
        <v>0</v>
      </c>
      <c r="J36" s="211">
        <v>0</v>
      </c>
      <c r="K36" s="15">
        <f>SUM(H36:J36)</f>
        <v>0</v>
      </c>
      <c r="M36" s="676">
        <f>SUMIF('1.0'!$D:$D,T_BS!D36,'1.0'!$N:$N)</f>
        <v>0</v>
      </c>
      <c r="N36" s="211">
        <f>SUMIF('2.0'!$D:$D,T_BS!D36,'2.0'!$N:$N)</f>
        <v>0</v>
      </c>
      <c r="O36" s="7">
        <f>ROUND(SUMIF('3.0'!$D:$D,T_BS!D36,'3.0'!$H:$H),0)</f>
        <v>0</v>
      </c>
      <c r="P36" s="210">
        <f>ROUND(SUMIF('4.0'!$D:$D,T_BS!D36,'4.0'!$N:$N),0)</f>
        <v>0</v>
      </c>
      <c r="Q36" s="7">
        <f>ROUND(SUMIF('5.0'!$D:$D,T_BS!D36,'5.0'!$N:$N),0)</f>
        <v>0</v>
      </c>
      <c r="R36" s="210">
        <f>ROUND(SUMIF('6.0'!$D:$D,T_BS!D36,'6.0'!$N:$N),0)</f>
        <v>0</v>
      </c>
      <c r="S36" s="210">
        <f>ROUND(SUMIF('7.0'!$D:$D,T_BS!D36,'7.0'!$I:$I),0)</f>
        <v>0</v>
      </c>
      <c r="T36" s="210">
        <f>ROUND(SUMIF('8.0'!$D:$D,T_BS!D36,'8.0'!$H:$H),0)</f>
        <v>0</v>
      </c>
      <c r="U36" s="15">
        <f t="shared" si="7"/>
        <v>0</v>
      </c>
      <c r="W36" s="39">
        <f t="shared" si="8"/>
        <v>0</v>
      </c>
      <c r="Y36" s="5"/>
      <c r="AB36" s="39">
        <v>0</v>
      </c>
      <c r="AC36" s="710">
        <f t="shared" si="3"/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</row>
    <row r="37" spans="1:35" ht="18" customHeight="1">
      <c r="A37" s="5"/>
      <c r="D37" s="43" t="s">
        <v>219</v>
      </c>
      <c r="E37" s="6" t="s">
        <v>38</v>
      </c>
      <c r="F37" s="40"/>
      <c r="G37" s="6" t="s">
        <v>41</v>
      </c>
      <c r="H37" s="5">
        <v>0</v>
      </c>
      <c r="I37" s="211">
        <v>0</v>
      </c>
      <c r="J37" s="211">
        <v>0</v>
      </c>
      <c r="K37" s="15">
        <f>SUM(H37:J37)</f>
        <v>0</v>
      </c>
      <c r="M37" s="676">
        <f>SUMIF('1.0'!$D:$D,T_BS!D37,'1.0'!$N:$N)</f>
        <v>0</v>
      </c>
      <c r="N37" s="211">
        <f>SUMIF('2.0'!$D:$D,T_BS!D37,'2.0'!$N:$N)</f>
        <v>0</v>
      </c>
      <c r="O37" s="7">
        <f>ROUND(SUMIF('3.0'!$D:$D,T_BS!D37,'3.0'!$H:$H),0)</f>
        <v>0</v>
      </c>
      <c r="P37" s="210">
        <f>ROUND(SUMIF('4.0'!$D:$D,T_BS!D37,'4.0'!$N:$N),0)</f>
        <v>0</v>
      </c>
      <c r="Q37" s="7">
        <f>ROUND(SUMIF('5.0'!$D:$D,T_BS!D37,'5.0'!$N:$N),0)</f>
        <v>0</v>
      </c>
      <c r="R37" s="210">
        <f>ROUND(SUMIF('6.0'!$D:$D,T_BS!D37,'6.0'!$N:$N),0)</f>
        <v>0</v>
      </c>
      <c r="S37" s="210">
        <f>ROUND(SUMIF('7.0'!$D:$D,T_BS!D37,'7.0'!$I:$I),0)</f>
        <v>0</v>
      </c>
      <c r="T37" s="210">
        <f>ROUND(SUMIF('8.0'!$D:$D,T_BS!D37,'8.0'!$H:$H),0)</f>
        <v>0</v>
      </c>
      <c r="U37" s="15">
        <f t="shared" si="7"/>
        <v>0</v>
      </c>
      <c r="W37" s="39">
        <f t="shared" si="8"/>
        <v>0</v>
      </c>
      <c r="Y37" s="5"/>
      <c r="AB37" s="39">
        <v>0</v>
      </c>
      <c r="AC37" s="710">
        <f t="shared" si="3"/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1:35" ht="18" customHeight="1">
      <c r="A38" s="5"/>
      <c r="D38" s="43" t="s">
        <v>220</v>
      </c>
      <c r="E38" s="6" t="s">
        <v>38</v>
      </c>
      <c r="F38" s="40"/>
      <c r="G38" s="6" t="s">
        <v>42</v>
      </c>
      <c r="H38" s="5">
        <v>0</v>
      </c>
      <c r="I38" s="211">
        <v>0</v>
      </c>
      <c r="J38" s="211">
        <v>0</v>
      </c>
      <c r="K38" s="15">
        <f>SUM(H38:J38)</f>
        <v>0</v>
      </c>
      <c r="M38" s="676">
        <f>SUMIF('1.0'!$D:$D,T_BS!D38,'1.0'!$N:$N)</f>
        <v>0</v>
      </c>
      <c r="N38" s="211">
        <f>SUMIF('2.0'!$D:$D,T_BS!D38,'2.0'!$N:$N)</f>
        <v>0</v>
      </c>
      <c r="O38" s="7">
        <f>ROUND(SUMIF('3.0'!$D:$D,T_BS!D38,'3.0'!$H:$H),0)</f>
        <v>0</v>
      </c>
      <c r="P38" s="210">
        <f>ROUND(SUMIF('4.0'!$D:$D,T_BS!D38,'4.0'!$N:$N),0)</f>
        <v>0</v>
      </c>
      <c r="Q38" s="7">
        <f>ROUND(SUMIF('5.0'!$D:$D,T_BS!D38,'5.0'!$N:$N),0)</f>
        <v>0</v>
      </c>
      <c r="R38" s="210">
        <f>ROUND(SUMIF('6.0'!$D:$D,T_BS!D38,'6.0'!$N:$N),0)</f>
        <v>0</v>
      </c>
      <c r="S38" s="210">
        <f>ROUND(SUMIF('7.0'!$D:$D,T_BS!D38,'7.0'!$I:$I),0)</f>
        <v>0</v>
      </c>
      <c r="T38" s="210">
        <f>ROUND(SUMIF('8.0'!$D:$D,T_BS!D38,'8.0'!$H:$H),0)</f>
        <v>0</v>
      </c>
      <c r="U38" s="15">
        <f t="shared" si="7"/>
        <v>0</v>
      </c>
      <c r="W38" s="39">
        <f t="shared" si="8"/>
        <v>0</v>
      </c>
      <c r="Y38" s="5"/>
      <c r="AB38" s="39">
        <v>0</v>
      </c>
      <c r="AC38" s="710">
        <f t="shared" si="3"/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1:35" ht="18" customHeight="1">
      <c r="A39" s="5"/>
      <c r="D39" s="13"/>
      <c r="E39" s="34"/>
      <c r="F39" s="35"/>
      <c r="G39" s="34" t="s">
        <v>2</v>
      </c>
      <c r="H39" s="484">
        <f>SUM(H40:H48)</f>
        <v>4578028563</v>
      </c>
      <c r="I39" s="417">
        <f>SUM(I40:I48)</f>
        <v>0</v>
      </c>
      <c r="J39" s="417">
        <f>SUM(J40:J48)</f>
        <v>90373286</v>
      </c>
      <c r="K39" s="645">
        <f>SUM(K40:K48)</f>
        <v>4668401849</v>
      </c>
      <c r="M39" s="675">
        <f t="shared" ref="M39:R39" si="10">SUM(M40:M48)</f>
        <v>0</v>
      </c>
      <c r="N39" s="417">
        <f t="shared" si="10"/>
        <v>0</v>
      </c>
      <c r="O39" s="417">
        <f t="shared" si="10"/>
        <v>0</v>
      </c>
      <c r="P39" s="417">
        <f t="shared" si="10"/>
        <v>-32204791</v>
      </c>
      <c r="Q39" s="417">
        <f t="shared" si="10"/>
        <v>0</v>
      </c>
      <c r="R39" s="417">
        <f t="shared" si="10"/>
        <v>0</v>
      </c>
      <c r="S39" s="417">
        <f>SUM(S40:S48)</f>
        <v>0</v>
      </c>
      <c r="T39" s="417">
        <f>SUM(T40:T48)</f>
        <v>0</v>
      </c>
      <c r="U39" s="645">
        <f>SUM(U40:U48)</f>
        <v>-32204791</v>
      </c>
      <c r="W39" s="36">
        <f>SUM(W40:W48)</f>
        <v>4636197058</v>
      </c>
      <c r="Y39" s="5"/>
      <c r="AB39" s="36">
        <v>4637048847</v>
      </c>
      <c r="AC39" s="710">
        <f t="shared" si="3"/>
        <v>-851789</v>
      </c>
      <c r="AE39" s="5">
        <v>-113485000</v>
      </c>
      <c r="AF39" s="5">
        <v>0</v>
      </c>
      <c r="AG39" s="5">
        <v>-851789</v>
      </c>
      <c r="AH39" s="5">
        <v>113485000</v>
      </c>
      <c r="AI39" s="5">
        <v>-851789</v>
      </c>
    </row>
    <row r="40" spans="1:35" ht="18" customHeight="1">
      <c r="A40" s="5"/>
      <c r="D40" s="14">
        <v>115100</v>
      </c>
      <c r="E40" s="6" t="s">
        <v>2</v>
      </c>
      <c r="F40" s="40">
        <v>1301</v>
      </c>
      <c r="G40" s="6" t="s">
        <v>43</v>
      </c>
      <c r="H40" s="5">
        <v>5631718515</v>
      </c>
      <c r="I40" s="211">
        <v>171615969</v>
      </c>
      <c r="J40" s="211">
        <v>3803255538</v>
      </c>
      <c r="K40" s="15">
        <f t="shared" ref="K40:K48" si="11">SUM(H40:J40)</f>
        <v>9606590022</v>
      </c>
      <c r="M40" s="676">
        <f>SUMIF('1.0'!$D:$D,T_BS!D40,'1.0'!$N:$N)</f>
        <v>0</v>
      </c>
      <c r="N40" s="211">
        <f>SUMIF('2.0'!$D:$D,T_BS!D40,'2.0'!$N:$N)</f>
        <v>0</v>
      </c>
      <c r="O40" s="7">
        <f>ROUND(SUMIF('3.0'!$D:$D,T_BS!D40,'3.0'!$H:$H),0)</f>
        <v>0</v>
      </c>
      <c r="P40" s="210">
        <f>ROUND(SUMIF('4.0'!$D:$D,T_BS!D40,'4.0'!$N:$N),0)</f>
        <v>-17841963</v>
      </c>
      <c r="Q40" s="7">
        <f>ROUND(SUMIF('5.0'!$D:$D,T_BS!D40,'5.0'!$N:$N),0)</f>
        <v>0</v>
      </c>
      <c r="R40" s="210">
        <f>ROUND(SUMIF('6.0'!$D:$D,T_BS!D40,'6.0'!$N:$N),0)</f>
        <v>-35034683</v>
      </c>
      <c r="S40" s="210">
        <f>ROUND(SUMIF('7.0'!$D:$D,T_BS!D40,'7.0'!$I:$I),0)</f>
        <v>0</v>
      </c>
      <c r="T40" s="210">
        <f>ROUND(SUMIF('8.0'!$D:$D,T_BS!D40,'8.0'!$H:$H),0)</f>
        <v>0</v>
      </c>
      <c r="U40" s="15">
        <f t="shared" si="7"/>
        <v>-52876646</v>
      </c>
      <c r="W40" s="39">
        <f t="shared" si="8"/>
        <v>9553713376</v>
      </c>
      <c r="Y40" s="5"/>
      <c r="AB40" s="39">
        <v>9573729672</v>
      </c>
      <c r="AC40" s="710">
        <f t="shared" si="3"/>
        <v>-20016296</v>
      </c>
      <c r="AE40" s="5">
        <v>0</v>
      </c>
      <c r="AF40" s="5">
        <v>0</v>
      </c>
      <c r="AG40" s="5">
        <v>-20016296</v>
      </c>
      <c r="AH40" s="5">
        <v>0</v>
      </c>
      <c r="AI40" s="5">
        <v>-20016296</v>
      </c>
    </row>
    <row r="41" spans="1:35" ht="18" customHeight="1">
      <c r="A41" s="5"/>
      <c r="D41" s="14">
        <v>115170</v>
      </c>
      <c r="E41" s="6" t="s">
        <v>2</v>
      </c>
      <c r="F41" s="40">
        <v>1302</v>
      </c>
      <c r="G41" s="6" t="s">
        <v>44</v>
      </c>
      <c r="H41" s="5">
        <v>-4087637197</v>
      </c>
      <c r="I41" s="211">
        <v>-171615969</v>
      </c>
      <c r="J41" s="211">
        <v>-3712882252</v>
      </c>
      <c r="K41" s="15">
        <f t="shared" si="11"/>
        <v>-7972135418</v>
      </c>
      <c r="M41" s="676">
        <f>SUMIF('1.0'!$D:$D,T_BS!D41,'1.0'!$N:$N)</f>
        <v>0</v>
      </c>
      <c r="N41" s="211">
        <f>SUMIF('2.0'!$D:$D,T_BS!D41,'2.0'!$N:$N)</f>
        <v>0</v>
      </c>
      <c r="O41" s="7">
        <f>ROUND(SUMIF('3.0'!$D:$D,T_BS!D41,'3.0'!$H:$H),0)</f>
        <v>0</v>
      </c>
      <c r="P41" s="210">
        <f>ROUND(SUMIF('4.0'!$D:$D,T_BS!D41,'4.0'!$N:$N),0)</f>
        <v>0</v>
      </c>
      <c r="Q41" s="7">
        <f>ROUND(SUMIF('5.0'!$D:$D,T_BS!D41,'5.0'!$N:$N),0)</f>
        <v>0</v>
      </c>
      <c r="R41" s="210">
        <f>ROUND(SUMIF('6.0'!$D:$D,T_BS!D41,'6.0'!$N:$N),0)</f>
        <v>0</v>
      </c>
      <c r="S41" s="210">
        <f>ROUND(SUMIF('7.0'!$D:$D,T_BS!D41,'7.0'!$I:$I),0)</f>
        <v>0</v>
      </c>
      <c r="T41" s="210">
        <f>ROUND(SUMIF('8.0'!$D:$D,T_BS!D41,'8.0'!$H:$H),0)</f>
        <v>0</v>
      </c>
      <c r="U41" s="15">
        <f t="shared" si="7"/>
        <v>0</v>
      </c>
      <c r="W41" s="39">
        <f t="shared" si="8"/>
        <v>-7972135418</v>
      </c>
      <c r="Y41" s="5"/>
      <c r="AB41" s="39">
        <v>-8104784925</v>
      </c>
      <c r="AC41" s="710">
        <f t="shared" si="3"/>
        <v>132649507</v>
      </c>
      <c r="AE41" s="5">
        <v>0</v>
      </c>
      <c r="AF41" s="5">
        <v>0</v>
      </c>
      <c r="AG41" s="5">
        <v>19164507</v>
      </c>
      <c r="AH41" s="5">
        <v>113485000</v>
      </c>
      <c r="AI41" s="5">
        <v>132649507</v>
      </c>
    </row>
    <row r="42" spans="1:35" ht="18" customHeight="1">
      <c r="A42" s="5"/>
      <c r="D42" s="14">
        <v>115200</v>
      </c>
      <c r="E42" s="6" t="s">
        <v>2</v>
      </c>
      <c r="F42" s="40">
        <v>1303</v>
      </c>
      <c r="G42" s="6" t="s">
        <v>45</v>
      </c>
      <c r="H42" s="5">
        <v>2755204048</v>
      </c>
      <c r="I42" s="211">
        <v>60032968</v>
      </c>
      <c r="J42" s="211">
        <v>0</v>
      </c>
      <c r="K42" s="15">
        <f t="shared" si="11"/>
        <v>2815237016</v>
      </c>
      <c r="M42" s="676">
        <f>SUMIF('1.0'!$D:$D,T_BS!D42,'1.0'!$N:$N)</f>
        <v>0</v>
      </c>
      <c r="N42" s="211">
        <f>SUMIF('2.0'!$D:$D,T_BS!D42,'2.0'!$N:$N)</f>
        <v>0</v>
      </c>
      <c r="O42" s="7">
        <f>ROUND(SUMIF('3.0'!$D:$D,T_BS!D42,'3.0'!$H:$H),0)</f>
        <v>0</v>
      </c>
      <c r="P42" s="210">
        <f>ROUND(SUMIF('4.0'!$D:$D,T_BS!D42,'4.0'!$N:$N),0)</f>
        <v>-14362828</v>
      </c>
      <c r="Q42" s="7">
        <f>ROUND(SUMIF('5.0'!$D:$D,T_BS!D42,'5.0'!$N:$N),0)</f>
        <v>0</v>
      </c>
      <c r="R42" s="210">
        <f>ROUND(SUMIF('6.0'!$D:$D,T_BS!D42,'6.0'!$N:$N),0)</f>
        <v>35034683</v>
      </c>
      <c r="S42" s="210">
        <f>ROUND(SUMIF('7.0'!$D:$D,T_BS!D42,'7.0'!$I:$I),0)</f>
        <v>0</v>
      </c>
      <c r="T42" s="210">
        <f>ROUND(SUMIF('8.0'!$D:$D,T_BS!D42,'8.0'!$H:$H),0)</f>
        <v>0</v>
      </c>
      <c r="U42" s="15">
        <f t="shared" si="7"/>
        <v>20671855</v>
      </c>
      <c r="W42" s="39">
        <f t="shared" si="8"/>
        <v>2835908871</v>
      </c>
      <c r="Y42" s="5"/>
      <c r="AB42" s="39">
        <v>2835908871</v>
      </c>
      <c r="AC42" s="710">
        <f t="shared" si="3"/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</row>
    <row r="43" spans="1:35" ht="18" customHeight="1">
      <c r="A43" s="5"/>
      <c r="D43" s="14">
        <v>115270</v>
      </c>
      <c r="E43" s="6" t="s">
        <v>2</v>
      </c>
      <c r="F43" s="40">
        <v>1304</v>
      </c>
      <c r="G43" s="6" t="s">
        <v>46</v>
      </c>
      <c r="H43" s="5">
        <v>-1818644875</v>
      </c>
      <c r="I43" s="211">
        <v>-60032968</v>
      </c>
      <c r="J43" s="211">
        <v>0</v>
      </c>
      <c r="K43" s="15">
        <f t="shared" si="11"/>
        <v>-1878677843</v>
      </c>
      <c r="M43" s="676">
        <f>SUMIF('1.0'!$D:$D,T_BS!D43,'1.0'!$N:$N)</f>
        <v>0</v>
      </c>
      <c r="N43" s="211">
        <f>SUMIF('2.0'!$D:$D,T_BS!D43,'2.0'!$N:$N)</f>
        <v>0</v>
      </c>
      <c r="O43" s="7">
        <f>ROUND(SUMIF('3.0'!$D:$D,T_BS!D43,'3.0'!$H:$H),0)</f>
        <v>0</v>
      </c>
      <c r="P43" s="210">
        <f>ROUND(SUMIF('4.0'!$D:$D,T_BS!D43,'4.0'!$N:$N),0)</f>
        <v>0</v>
      </c>
      <c r="Q43" s="7">
        <f>ROUND(SUMIF('5.0'!$D:$D,T_BS!D43,'5.0'!$N:$N),0)</f>
        <v>0</v>
      </c>
      <c r="R43" s="210">
        <f>ROUND(SUMIF('6.0'!$D:$D,T_BS!D43,'6.0'!$N:$N),0)</f>
        <v>0</v>
      </c>
      <c r="S43" s="210">
        <f>ROUND(SUMIF('7.0'!$D:$D,T_BS!D43,'7.0'!$I:$I),0)</f>
        <v>0</v>
      </c>
      <c r="T43" s="210">
        <f>ROUND(SUMIF('8.0'!$D:$D,T_BS!D43,'8.0'!$H:$H),0)</f>
        <v>0</v>
      </c>
      <c r="U43" s="15">
        <f t="shared" si="7"/>
        <v>0</v>
      </c>
      <c r="W43" s="39">
        <f t="shared" si="8"/>
        <v>-1878677843</v>
      </c>
      <c r="Y43" s="5"/>
      <c r="AB43" s="39">
        <v>-1765192843</v>
      </c>
      <c r="AC43" s="710">
        <f t="shared" si="3"/>
        <v>-113485000</v>
      </c>
      <c r="AE43" s="5">
        <v>-113485000</v>
      </c>
      <c r="AF43" s="5">
        <v>0</v>
      </c>
      <c r="AG43" s="5">
        <v>0</v>
      </c>
      <c r="AH43" s="5">
        <v>0</v>
      </c>
      <c r="AI43" s="5">
        <v>-113485000</v>
      </c>
    </row>
    <row r="44" spans="1:35" ht="18" customHeight="1">
      <c r="A44" s="5"/>
      <c r="D44" s="14">
        <v>115300</v>
      </c>
      <c r="E44" s="6" t="s">
        <v>2</v>
      </c>
      <c r="F44" s="40">
        <v>1305</v>
      </c>
      <c r="G44" s="6" t="s">
        <v>47</v>
      </c>
      <c r="H44" s="5">
        <v>1157114968</v>
      </c>
      <c r="I44" s="211">
        <v>0</v>
      </c>
      <c r="J44" s="211">
        <v>0</v>
      </c>
      <c r="K44" s="15">
        <f t="shared" si="11"/>
        <v>1157114968</v>
      </c>
      <c r="M44" s="676">
        <f>SUMIF('1.0'!$D:$D,T_BS!D44,'1.0'!$N:$N)</f>
        <v>0</v>
      </c>
      <c r="N44" s="211">
        <f>SUMIF('2.0'!$D:$D,T_BS!D44,'2.0'!$N:$N)</f>
        <v>0</v>
      </c>
      <c r="O44" s="7">
        <f>ROUND(SUMIF('3.0'!$D:$D,T_BS!D44,'3.0'!$H:$H),0)</f>
        <v>0</v>
      </c>
      <c r="P44" s="210">
        <f>ROUND(SUMIF('4.0'!$D:$D,T_BS!D44,'4.0'!$N:$N),0)</f>
        <v>0</v>
      </c>
      <c r="Q44" s="7">
        <f>ROUND(SUMIF('5.0'!$D:$D,T_BS!D44,'5.0'!$N:$N),0)</f>
        <v>0</v>
      </c>
      <c r="R44" s="210">
        <f>ROUND(SUMIF('6.0'!$D:$D,T_BS!D44,'6.0'!$N:$N),0)</f>
        <v>0</v>
      </c>
      <c r="S44" s="210">
        <f>ROUND(SUMIF('7.0'!$D:$D,T_BS!D44,'7.0'!$I:$I),0)</f>
        <v>0</v>
      </c>
      <c r="T44" s="210">
        <f>ROUND(SUMIF('8.0'!$D:$D,T_BS!D44,'8.0'!$H:$H),0)</f>
        <v>0</v>
      </c>
      <c r="U44" s="15">
        <f t="shared" si="7"/>
        <v>0</v>
      </c>
      <c r="W44" s="39">
        <f t="shared" si="8"/>
        <v>1157114968</v>
      </c>
      <c r="Y44" s="5"/>
      <c r="AB44" s="39">
        <v>1157114968</v>
      </c>
      <c r="AC44" s="710">
        <f t="shared" si="3"/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1:35" ht="18" customHeight="1">
      <c r="A45" s="5"/>
      <c r="D45" s="14">
        <v>115350</v>
      </c>
      <c r="E45" s="6" t="s">
        <v>2</v>
      </c>
      <c r="F45" s="40">
        <v>1306</v>
      </c>
      <c r="G45" s="6" t="s">
        <v>48</v>
      </c>
      <c r="H45" s="5">
        <v>-818267363</v>
      </c>
      <c r="I45" s="211">
        <v>0</v>
      </c>
      <c r="J45" s="211">
        <v>0</v>
      </c>
      <c r="K45" s="15">
        <f t="shared" si="11"/>
        <v>-818267363</v>
      </c>
      <c r="M45" s="676">
        <f>SUMIF('1.0'!$D:$D,T_BS!D45,'1.0'!$N:$N)</f>
        <v>0</v>
      </c>
      <c r="N45" s="211">
        <f>SUMIF('2.0'!$D:$D,T_BS!D45,'2.0'!$N:$N)</f>
        <v>0</v>
      </c>
      <c r="O45" s="7">
        <f>ROUND(SUMIF('3.0'!$D:$D,T_BS!D45,'3.0'!$H:$H),0)</f>
        <v>0</v>
      </c>
      <c r="P45" s="210">
        <f>ROUND(SUMIF('4.0'!$D:$D,T_BS!D45,'4.0'!$N:$N),0)</f>
        <v>0</v>
      </c>
      <c r="Q45" s="7">
        <f>ROUND(SUMIF('5.0'!$D:$D,T_BS!D45,'5.0'!$N:$N),0)</f>
        <v>0</v>
      </c>
      <c r="R45" s="210">
        <f>ROUND(SUMIF('6.0'!$D:$D,T_BS!D45,'6.0'!$N:$N),0)</f>
        <v>0</v>
      </c>
      <c r="S45" s="210">
        <f>ROUND(SUMIF('7.0'!$D:$D,T_BS!D45,'7.0'!$I:$I),0)</f>
        <v>0</v>
      </c>
      <c r="T45" s="210">
        <f>ROUND(SUMIF('8.0'!$D:$D,T_BS!D45,'8.0'!$H:$H),0)</f>
        <v>0</v>
      </c>
      <c r="U45" s="15">
        <f t="shared" si="7"/>
        <v>0</v>
      </c>
      <c r="W45" s="39">
        <f t="shared" si="8"/>
        <v>-818267363</v>
      </c>
      <c r="Y45" s="5"/>
      <c r="AB45" s="39">
        <v>-818267363</v>
      </c>
      <c r="AC45" s="710">
        <f t="shared" si="3"/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1:35" ht="18" customHeight="1">
      <c r="A46" s="5"/>
      <c r="D46" s="14">
        <v>115400</v>
      </c>
      <c r="E46" s="6" t="s">
        <v>2</v>
      </c>
      <c r="F46" s="40">
        <v>1307</v>
      </c>
      <c r="G46" s="6" t="s">
        <v>49</v>
      </c>
      <c r="H46" s="5">
        <v>8597183902</v>
      </c>
      <c r="I46" s="211">
        <v>66197975</v>
      </c>
      <c r="J46" s="211">
        <v>0</v>
      </c>
      <c r="K46" s="15">
        <f t="shared" si="11"/>
        <v>8663381877</v>
      </c>
      <c r="M46" s="676">
        <f>SUMIF('1.0'!$D:$D,T_BS!D46,'1.0'!$N:$N)</f>
        <v>0</v>
      </c>
      <c r="N46" s="211">
        <f>SUMIF('2.0'!$D:$D,T_BS!D46,'2.0'!$N:$N)</f>
        <v>0</v>
      </c>
      <c r="O46" s="7">
        <f>ROUND(SUMIF('3.0'!$D:$D,T_BS!D46,'3.0'!$H:$H),0)</f>
        <v>0</v>
      </c>
      <c r="P46" s="210">
        <f>ROUND(SUMIF('4.0'!$D:$D,T_BS!D46,'4.0'!$N:$N),0)</f>
        <v>0</v>
      </c>
      <c r="Q46" s="7">
        <f>ROUND(SUMIF('5.0'!$D:$D,T_BS!D46,'5.0'!$N:$N),0)</f>
        <v>0</v>
      </c>
      <c r="R46" s="210">
        <f>ROUND(SUMIF('6.0'!$D:$D,T_BS!D46,'6.0'!$N:$N),0)</f>
        <v>0</v>
      </c>
      <c r="S46" s="210">
        <f>ROUND(SUMIF('7.0'!$D:$D,T_BS!D46,'7.0'!$I:$I),0)</f>
        <v>0</v>
      </c>
      <c r="T46" s="210">
        <f>ROUND(SUMIF('8.0'!$D:$D,T_BS!D46,'8.0'!$H:$H),0)</f>
        <v>0</v>
      </c>
      <c r="U46" s="15">
        <f t="shared" si="7"/>
        <v>0</v>
      </c>
      <c r="W46" s="39">
        <f t="shared" si="8"/>
        <v>8663381877</v>
      </c>
      <c r="Y46" s="5"/>
      <c r="AB46" s="39">
        <v>8663381877</v>
      </c>
      <c r="AC46" s="710">
        <f t="shared" si="3"/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</row>
    <row r="47" spans="1:35" ht="18" customHeight="1">
      <c r="A47" s="5"/>
      <c r="D47" s="14">
        <v>115470</v>
      </c>
      <c r="E47" s="6" t="s">
        <v>2</v>
      </c>
      <c r="F47" s="40">
        <v>1308</v>
      </c>
      <c r="G47" s="6" t="s">
        <v>50</v>
      </c>
      <c r="H47" s="5">
        <v>-6838643435</v>
      </c>
      <c r="I47" s="211">
        <v>-66197975</v>
      </c>
      <c r="J47" s="211">
        <v>0</v>
      </c>
      <c r="K47" s="15">
        <f t="shared" si="11"/>
        <v>-6904841410</v>
      </c>
      <c r="M47" s="676">
        <f>SUMIF('1.0'!$D:$D,T_BS!D47,'1.0'!$N:$N)</f>
        <v>0</v>
      </c>
      <c r="N47" s="211">
        <f>SUMIF('2.0'!$D:$D,T_BS!D47,'2.0'!$N:$N)</f>
        <v>0</v>
      </c>
      <c r="O47" s="7">
        <f>ROUND(SUMIF('3.0'!$D:$D,T_BS!D47,'3.0'!$H:$H),0)</f>
        <v>0</v>
      </c>
      <c r="P47" s="210">
        <f>ROUND(SUMIF('4.0'!$D:$D,T_BS!D47,'4.0'!$N:$N),0)</f>
        <v>0</v>
      </c>
      <c r="Q47" s="7">
        <f>ROUND(SUMIF('5.0'!$D:$D,T_BS!D47,'5.0'!$N:$N),0)</f>
        <v>0</v>
      </c>
      <c r="R47" s="210">
        <f>ROUND(SUMIF('6.0'!$D:$D,T_BS!D47,'6.0'!$N:$N),0)</f>
        <v>0</v>
      </c>
      <c r="S47" s="210">
        <f>ROUND(SUMIF('7.0'!$D:$D,T_BS!D47,'7.0'!$I:$I),0)</f>
        <v>0</v>
      </c>
      <c r="T47" s="210">
        <f>ROUND(SUMIF('8.0'!$D:$D,T_BS!D47,'8.0'!$H:$H),0)</f>
        <v>0</v>
      </c>
      <c r="U47" s="15">
        <f t="shared" si="7"/>
        <v>0</v>
      </c>
      <c r="W47" s="39">
        <f t="shared" si="8"/>
        <v>-6904841410</v>
      </c>
      <c r="Y47" s="5"/>
      <c r="AB47" s="39">
        <v>-6904841410</v>
      </c>
      <c r="AC47" s="710">
        <f t="shared" si="3"/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1:35" ht="18" customHeight="1">
      <c r="A48" s="5"/>
      <c r="D48" s="14">
        <v>115800</v>
      </c>
      <c r="E48" s="6" t="s">
        <v>2</v>
      </c>
      <c r="F48" s="40" t="s">
        <v>612</v>
      </c>
      <c r="G48" s="6" t="s">
        <v>51</v>
      </c>
      <c r="H48" s="5">
        <v>0</v>
      </c>
      <c r="I48" s="211">
        <v>0</v>
      </c>
      <c r="J48" s="211">
        <v>0</v>
      </c>
      <c r="K48" s="15">
        <f t="shared" si="11"/>
        <v>0</v>
      </c>
      <c r="M48" s="676">
        <f>SUMIF('1.0'!$D:$D,T_BS!D48,'1.0'!$N:$N)</f>
        <v>0</v>
      </c>
      <c r="N48" s="211">
        <f>SUMIF('2.0'!$D:$D,T_BS!D48,'2.0'!$N:$N)</f>
        <v>0</v>
      </c>
      <c r="O48" s="7">
        <f>ROUND(SUMIF('3.0'!$D:$D,T_BS!D48,'3.0'!$H:$H),0)</f>
        <v>0</v>
      </c>
      <c r="P48" s="210">
        <f>ROUND(SUMIF('4.0'!$D:$D,T_BS!D48,'4.0'!$N:$N),0)</f>
        <v>0</v>
      </c>
      <c r="Q48" s="7">
        <f>ROUND(SUMIF('5.0'!$D:$D,T_BS!D48,'5.0'!$N:$N),0)</f>
        <v>0</v>
      </c>
      <c r="R48" s="210">
        <f>ROUND(SUMIF('6.0'!$D:$D,T_BS!D48,'6.0'!$N:$N),0)</f>
        <v>0</v>
      </c>
      <c r="S48" s="210">
        <f>ROUND(SUMIF('7.0'!$D:$D,T_BS!D48,'7.0'!$I:$I),0)</f>
        <v>0</v>
      </c>
      <c r="T48" s="210">
        <f>ROUND(SUMIF('8.0'!$D:$D,T_BS!D48,'8.0'!$H:$H),0)</f>
        <v>0</v>
      </c>
      <c r="U48" s="15">
        <f t="shared" si="7"/>
        <v>0</v>
      </c>
      <c r="W48" s="39">
        <f t="shared" si="8"/>
        <v>0</v>
      </c>
      <c r="Y48" s="5"/>
      <c r="AB48" s="39">
        <v>0</v>
      </c>
      <c r="AC48" s="710">
        <f t="shared" si="3"/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1:35" ht="18" customHeight="1">
      <c r="A49" s="5"/>
      <c r="D49" s="13"/>
      <c r="E49" s="34"/>
      <c r="F49" s="35"/>
      <c r="G49" s="34" t="s">
        <v>3</v>
      </c>
      <c r="H49" s="484">
        <f>SUM(H50:H53)</f>
        <v>84993510</v>
      </c>
      <c r="I49" s="417">
        <f>SUM(I50:I53)</f>
        <v>0</v>
      </c>
      <c r="J49" s="417">
        <f>SUM(J50:J53)</f>
        <v>141322383</v>
      </c>
      <c r="K49" s="645">
        <f>SUM(K50:K53)</f>
        <v>226315893</v>
      </c>
      <c r="M49" s="675">
        <f t="shared" ref="M49:R49" si="12">SUM(M50:M53)</f>
        <v>0</v>
      </c>
      <c r="N49" s="417">
        <f t="shared" si="12"/>
        <v>0</v>
      </c>
      <c r="O49" s="417">
        <f t="shared" si="12"/>
        <v>0</v>
      </c>
      <c r="P49" s="417">
        <f t="shared" si="12"/>
        <v>0</v>
      </c>
      <c r="Q49" s="417">
        <f t="shared" si="12"/>
        <v>0</v>
      </c>
      <c r="R49" s="417">
        <f t="shared" si="12"/>
        <v>0</v>
      </c>
      <c r="S49" s="417">
        <f>SUM(S50:S53)</f>
        <v>0</v>
      </c>
      <c r="T49" s="417">
        <f>SUM(T50:T53)</f>
        <v>0</v>
      </c>
      <c r="U49" s="645">
        <f>SUM(U50:U53)</f>
        <v>0</v>
      </c>
      <c r="W49" s="36">
        <f>SUM(W50:W53)</f>
        <v>226315893</v>
      </c>
      <c r="Y49" s="5"/>
      <c r="AB49" s="36">
        <v>226315893</v>
      </c>
      <c r="AC49" s="710">
        <f t="shared" si="3"/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1:35" ht="18" customHeight="1">
      <c r="A50" s="5"/>
      <c r="D50" s="14">
        <v>113100</v>
      </c>
      <c r="E50" s="6" t="s">
        <v>3</v>
      </c>
      <c r="F50" s="40">
        <v>1401</v>
      </c>
      <c r="G50" s="6" t="s">
        <v>52</v>
      </c>
      <c r="H50" s="5">
        <v>76408880</v>
      </c>
      <c r="I50" s="211">
        <v>0</v>
      </c>
      <c r="J50" s="211">
        <v>0</v>
      </c>
      <c r="K50" s="15">
        <f>SUM(H50:J50)</f>
        <v>76408880</v>
      </c>
      <c r="M50" s="676">
        <f>SUMIF('1.0'!$D:$D,T_BS!D50,'1.0'!$N:$N)</f>
        <v>0</v>
      </c>
      <c r="N50" s="211">
        <f>SUMIF('2.0'!$D:$D,T_BS!D50,'2.0'!$N:$N)</f>
        <v>0</v>
      </c>
      <c r="O50" s="7">
        <f>ROUND(SUMIF('3.0'!$D:$D,T_BS!D50,'3.0'!$H:$H),0)</f>
        <v>0</v>
      </c>
      <c r="P50" s="210">
        <f>ROUND(SUMIF('4.0'!$D:$D,T_BS!D50,'4.0'!$N:$N),0)</f>
        <v>0</v>
      </c>
      <c r="Q50" s="7">
        <f>ROUND(SUMIF('5.0'!$D:$D,T_BS!D50,'5.0'!$N:$N),0)</f>
        <v>0</v>
      </c>
      <c r="R50" s="210">
        <f>ROUND(SUMIF('6.0'!$D:$D,T_BS!D50,'6.0'!$N:$N),0)</f>
        <v>0</v>
      </c>
      <c r="S50" s="210">
        <f>ROUND(SUMIF('7.0'!$D:$D,T_BS!D50,'7.0'!$I:$I),0)</f>
        <v>0</v>
      </c>
      <c r="T50" s="210">
        <f>ROUND(SUMIF('8.0'!$D:$D,T_BS!D50,'8.0'!$H:$H),0)</f>
        <v>0</v>
      </c>
      <c r="U50" s="15">
        <f t="shared" si="7"/>
        <v>0</v>
      </c>
      <c r="W50" s="39">
        <f t="shared" si="8"/>
        <v>76408880</v>
      </c>
      <c r="Y50" s="5"/>
      <c r="AB50" s="39">
        <v>76408880</v>
      </c>
      <c r="AC50" s="710">
        <f t="shared" si="3"/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1:35" ht="18" customHeight="1">
      <c r="A51" s="5"/>
      <c r="D51" s="14">
        <v>113101</v>
      </c>
      <c r="E51" s="6" t="s">
        <v>3</v>
      </c>
      <c r="F51" s="40">
        <v>1401</v>
      </c>
      <c r="G51" s="6" t="s">
        <v>53</v>
      </c>
      <c r="H51" s="5">
        <v>7640290</v>
      </c>
      <c r="I51" s="211">
        <v>0</v>
      </c>
      <c r="J51" s="211">
        <v>0</v>
      </c>
      <c r="K51" s="15">
        <f>SUM(H51:J51)</f>
        <v>7640290</v>
      </c>
      <c r="M51" s="676">
        <f>SUMIF('1.0'!$D:$D,T_BS!D51,'1.0'!$N:$N)</f>
        <v>0</v>
      </c>
      <c r="N51" s="211">
        <f>SUMIF('2.0'!$D:$D,T_BS!D51,'2.0'!$N:$N)</f>
        <v>0</v>
      </c>
      <c r="O51" s="7">
        <f>ROUND(SUMIF('3.0'!$D:$D,T_BS!D51,'3.0'!$H:$H),0)</f>
        <v>0</v>
      </c>
      <c r="P51" s="210">
        <f>ROUND(SUMIF('4.0'!$D:$D,T_BS!D51,'4.0'!$N:$N),0)</f>
        <v>0</v>
      </c>
      <c r="Q51" s="7">
        <f>ROUND(SUMIF('5.0'!$D:$D,T_BS!D51,'5.0'!$N:$N),0)</f>
        <v>0</v>
      </c>
      <c r="R51" s="210">
        <f>ROUND(SUMIF('6.0'!$D:$D,T_BS!D51,'6.0'!$N:$N),0)</f>
        <v>0</v>
      </c>
      <c r="S51" s="210">
        <f>ROUND(SUMIF('7.0'!$D:$D,T_BS!D51,'7.0'!$I:$I),0)</f>
        <v>0</v>
      </c>
      <c r="T51" s="210">
        <f>ROUND(SUMIF('8.0'!$D:$D,T_BS!D51,'8.0'!$H:$H),0)</f>
        <v>0</v>
      </c>
      <c r="U51" s="15">
        <f t="shared" si="7"/>
        <v>0</v>
      </c>
      <c r="W51" s="39">
        <f t="shared" si="8"/>
        <v>7640290</v>
      </c>
      <c r="Y51" s="5"/>
      <c r="AB51" s="39">
        <v>7640290</v>
      </c>
      <c r="AC51" s="710">
        <f t="shared" si="3"/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</row>
    <row r="52" spans="1:35" ht="18" customHeight="1">
      <c r="A52" s="5"/>
      <c r="D52" s="14">
        <v>113160</v>
      </c>
      <c r="E52" s="6" t="s">
        <v>3</v>
      </c>
      <c r="F52" s="40">
        <v>1401</v>
      </c>
      <c r="G52" s="6" t="s">
        <v>54</v>
      </c>
      <c r="H52" s="5">
        <v>0</v>
      </c>
      <c r="I52" s="211">
        <v>0</v>
      </c>
      <c r="J52" s="211">
        <v>141322383</v>
      </c>
      <c r="K52" s="15">
        <f>SUM(H52:J52)</f>
        <v>141322383</v>
      </c>
      <c r="M52" s="676">
        <f>SUMIF('1.0'!$D:$D,T_BS!D52,'1.0'!$N:$N)</f>
        <v>0</v>
      </c>
      <c r="N52" s="211">
        <f>SUMIF('2.0'!$D:$D,T_BS!D52,'2.0'!$N:$N)</f>
        <v>0</v>
      </c>
      <c r="O52" s="7">
        <f>ROUND(SUMIF('3.0'!$D:$D,T_BS!D52,'3.0'!$H:$H),0)</f>
        <v>0</v>
      </c>
      <c r="P52" s="210">
        <f>ROUND(SUMIF('4.0'!$D:$D,T_BS!D52,'4.0'!$N:$N),0)</f>
        <v>0</v>
      </c>
      <c r="Q52" s="7">
        <f>ROUND(SUMIF('5.0'!$D:$D,T_BS!D52,'5.0'!$N:$N),0)</f>
        <v>0</v>
      </c>
      <c r="R52" s="210">
        <f>ROUND(SUMIF('6.0'!$D:$D,T_BS!D52,'6.0'!$N:$N),0)</f>
        <v>0</v>
      </c>
      <c r="S52" s="210">
        <f>ROUND(SUMIF('7.0'!$D:$D,T_BS!D52,'7.0'!$I:$I),0)</f>
        <v>0</v>
      </c>
      <c r="T52" s="210">
        <f>ROUND(SUMIF('8.0'!$D:$D,T_BS!D52,'8.0'!$H:$H),0)</f>
        <v>0</v>
      </c>
      <c r="U52" s="15">
        <f t="shared" si="7"/>
        <v>0</v>
      </c>
      <c r="W52" s="39">
        <f t="shared" si="8"/>
        <v>141322383</v>
      </c>
      <c r="Y52" s="5"/>
      <c r="AB52" s="39">
        <v>141322383</v>
      </c>
      <c r="AC52" s="710">
        <f t="shared" si="3"/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1:35" ht="18" customHeight="1">
      <c r="A53" s="5"/>
      <c r="D53" s="14">
        <v>113161</v>
      </c>
      <c r="E53" s="6" t="s">
        <v>3</v>
      </c>
      <c r="F53" s="40">
        <v>1401</v>
      </c>
      <c r="G53" s="6" t="s">
        <v>55</v>
      </c>
      <c r="H53" s="5">
        <v>944340</v>
      </c>
      <c r="I53" s="211">
        <v>0</v>
      </c>
      <c r="J53" s="211">
        <v>0</v>
      </c>
      <c r="K53" s="15">
        <f>SUM(H53:J53)</f>
        <v>944340</v>
      </c>
      <c r="M53" s="676">
        <f>SUMIF('1.0'!$D:$D,T_BS!D53,'1.0'!$N:$N)</f>
        <v>0</v>
      </c>
      <c r="N53" s="211">
        <f>SUMIF('2.0'!$D:$D,T_BS!D53,'2.0'!$N:$N)</f>
        <v>0</v>
      </c>
      <c r="O53" s="7">
        <f>ROUND(SUMIF('3.0'!$D:$D,T_BS!D53,'3.0'!$H:$H),0)</f>
        <v>0</v>
      </c>
      <c r="P53" s="210">
        <f>ROUND(SUMIF('4.0'!$D:$D,T_BS!D53,'4.0'!$N:$N),0)</f>
        <v>0</v>
      </c>
      <c r="Q53" s="7">
        <f>ROUND(SUMIF('5.0'!$D:$D,T_BS!D53,'5.0'!$N:$N),0)</f>
        <v>0</v>
      </c>
      <c r="R53" s="210">
        <f>ROUND(SUMIF('6.0'!$D:$D,T_BS!D53,'6.0'!$N:$N),0)</f>
        <v>0</v>
      </c>
      <c r="S53" s="210">
        <f>ROUND(SUMIF('7.0'!$D:$D,T_BS!D53,'7.0'!$I:$I),0)</f>
        <v>0</v>
      </c>
      <c r="T53" s="210">
        <f>ROUND(SUMIF('8.0'!$D:$D,T_BS!D53,'8.0'!$H:$H),0)</f>
        <v>0</v>
      </c>
      <c r="U53" s="15">
        <f t="shared" si="7"/>
        <v>0</v>
      </c>
      <c r="W53" s="39">
        <f t="shared" si="8"/>
        <v>944340</v>
      </c>
      <c r="Y53" s="5"/>
      <c r="AB53" s="39">
        <v>944340</v>
      </c>
      <c r="AC53" s="710">
        <f t="shared" si="3"/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1:35" ht="18" customHeight="1">
      <c r="A54" s="5"/>
      <c r="D54" s="13"/>
      <c r="E54" s="34"/>
      <c r="F54" s="35"/>
      <c r="G54" s="34" t="s">
        <v>4</v>
      </c>
      <c r="H54" s="484">
        <f>SUM(H55:H70)</f>
        <v>3013933851</v>
      </c>
      <c r="I54" s="417">
        <f>SUM(I55:I70)</f>
        <v>22825450</v>
      </c>
      <c r="J54" s="417">
        <f>SUM(J55:J70)</f>
        <v>149688589</v>
      </c>
      <c r="K54" s="645">
        <f>SUM(K55:K70)</f>
        <v>3186447890</v>
      </c>
      <c r="M54" s="675">
        <f t="shared" ref="M54:U54" si="13">SUM(M55:M70)</f>
        <v>0</v>
      </c>
      <c r="N54" s="417">
        <f t="shared" si="13"/>
        <v>0</v>
      </c>
      <c r="O54" s="417">
        <f t="shared" si="13"/>
        <v>0</v>
      </c>
      <c r="P54" s="417">
        <f t="shared" si="13"/>
        <v>0</v>
      </c>
      <c r="Q54" s="417">
        <f t="shared" si="13"/>
        <v>0</v>
      </c>
      <c r="R54" s="417">
        <f t="shared" si="13"/>
        <v>0</v>
      </c>
      <c r="S54" s="417">
        <f t="shared" si="13"/>
        <v>0</v>
      </c>
      <c r="T54" s="417">
        <f t="shared" si="13"/>
        <v>0</v>
      </c>
      <c r="U54" s="645">
        <f t="shared" si="13"/>
        <v>0</v>
      </c>
      <c r="W54" s="36">
        <f>SUM(W55:W70)</f>
        <v>3186447890</v>
      </c>
      <c r="Y54" s="5"/>
      <c r="AB54" s="36">
        <v>3297206209</v>
      </c>
      <c r="AC54" s="710">
        <f t="shared" si="3"/>
        <v>-110758319</v>
      </c>
      <c r="AE54" s="5">
        <v>-246856833</v>
      </c>
      <c r="AF54" s="5">
        <v>0</v>
      </c>
      <c r="AG54" s="5">
        <v>577250</v>
      </c>
      <c r="AH54" s="5">
        <v>135521264</v>
      </c>
      <c r="AI54" s="5">
        <v>-110758319</v>
      </c>
    </row>
    <row r="55" spans="1:35" ht="18" customHeight="1">
      <c r="A55" s="5"/>
      <c r="D55" s="14">
        <v>112710</v>
      </c>
      <c r="E55" s="6" t="s">
        <v>4</v>
      </c>
      <c r="F55" s="40">
        <v>1605</v>
      </c>
      <c r="G55" s="6" t="s">
        <v>56</v>
      </c>
      <c r="H55" s="5">
        <v>470020661</v>
      </c>
      <c r="I55" s="211">
        <v>0</v>
      </c>
      <c r="J55" s="211">
        <v>8745508</v>
      </c>
      <c r="K55" s="15">
        <f t="shared" ref="K55:K70" si="14">SUM(H55:J55)</f>
        <v>478766169</v>
      </c>
      <c r="M55" s="676">
        <f>SUMIF('1.0'!$D:$D,T_BS!D55,'1.0'!$N:$N)</f>
        <v>0</v>
      </c>
      <c r="N55" s="211">
        <f>SUMIF('2.0'!$D:$D,T_BS!D55,'2.0'!$N:$N)</f>
        <v>0</v>
      </c>
      <c r="O55" s="7">
        <f>ROUND(SUMIF('3.0'!$D:$D,T_BS!D55,'3.0'!$H:$H),0)</f>
        <v>0</v>
      </c>
      <c r="P55" s="210">
        <f>ROUND(SUMIF('4.0'!$D:$D,T_BS!D55,'4.0'!$N:$N),0)</f>
        <v>0</v>
      </c>
      <c r="Q55" s="7">
        <f>ROUND(SUMIF('5.0'!$D:$D,T_BS!D55,'5.0'!$N:$N),0)</f>
        <v>0</v>
      </c>
      <c r="R55" s="210">
        <f>ROUND(SUMIF('6.0'!$D:$D,T_BS!D55,'6.0'!$N:$N),0)</f>
        <v>0</v>
      </c>
      <c r="S55" s="210">
        <f>ROUND(SUMIF('7.0'!$D:$D,T_BS!D55,'7.0'!$I:$I),0)</f>
        <v>0</v>
      </c>
      <c r="T55" s="210">
        <f>ROUND(SUMIF('8.0'!$D:$D,T_BS!D55,'8.0'!$H:$H),0)</f>
        <v>0</v>
      </c>
      <c r="U55" s="15">
        <f t="shared" si="7"/>
        <v>0</v>
      </c>
      <c r="W55" s="39">
        <f t="shared" si="8"/>
        <v>478766169</v>
      </c>
      <c r="Y55" s="5"/>
      <c r="AB55" s="39">
        <v>478766169</v>
      </c>
      <c r="AC55" s="710">
        <f t="shared" si="3"/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</row>
    <row r="56" spans="1:35" ht="18" customHeight="1">
      <c r="A56" s="5"/>
      <c r="D56" s="14">
        <v>112720</v>
      </c>
      <c r="E56" s="6" t="s">
        <v>4</v>
      </c>
      <c r="F56" s="40">
        <v>1605</v>
      </c>
      <c r="G56" s="6" t="s">
        <v>57</v>
      </c>
      <c r="H56" s="5">
        <v>724491871</v>
      </c>
      <c r="I56" s="211">
        <v>0</v>
      </c>
      <c r="J56" s="211">
        <v>0</v>
      </c>
      <c r="K56" s="15">
        <f t="shared" si="14"/>
        <v>724491871</v>
      </c>
      <c r="M56" s="676">
        <f>SUMIF('1.0'!$D:$D,T_BS!D56,'1.0'!$N:$N)</f>
        <v>0</v>
      </c>
      <c r="N56" s="211">
        <f>SUMIF('2.0'!$D:$D,T_BS!D56,'2.0'!$N:$N)</f>
        <v>0</v>
      </c>
      <c r="O56" s="7">
        <f>ROUND(SUMIF('3.0'!$D:$D,T_BS!D56,'3.0'!$H:$H),0)</f>
        <v>0</v>
      </c>
      <c r="P56" s="210">
        <f>ROUND(SUMIF('4.0'!$D:$D,T_BS!D56,'4.0'!$N:$N),0)</f>
        <v>0</v>
      </c>
      <c r="Q56" s="7">
        <f>ROUND(SUMIF('5.0'!$D:$D,T_BS!D56,'5.0'!$N:$N),0)</f>
        <v>0</v>
      </c>
      <c r="R56" s="210">
        <f>ROUND(SUMIF('6.0'!$D:$D,T_BS!D56,'6.0'!$N:$N),0)</f>
        <v>0</v>
      </c>
      <c r="S56" s="210">
        <f>ROUND(SUMIF('7.0'!$D:$D,T_BS!D56,'7.0'!$I:$I),0)</f>
        <v>0</v>
      </c>
      <c r="T56" s="210">
        <f>ROUND(SUMIF('8.0'!$D:$D,T_BS!D56,'8.0'!$H:$H),0)</f>
        <v>0</v>
      </c>
      <c r="U56" s="15">
        <f t="shared" si="7"/>
        <v>0</v>
      </c>
      <c r="W56" s="39">
        <f t="shared" si="8"/>
        <v>724491871</v>
      </c>
      <c r="Y56" s="5"/>
      <c r="AB56" s="39">
        <v>724491871</v>
      </c>
      <c r="AC56" s="710">
        <f t="shared" si="3"/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1:35" ht="18" customHeight="1">
      <c r="A57" s="5"/>
      <c r="D57" s="14">
        <v>112730</v>
      </c>
      <c r="E57" s="6" t="s">
        <v>4</v>
      </c>
      <c r="F57" s="40">
        <v>1605</v>
      </c>
      <c r="G57" s="6" t="s">
        <v>58</v>
      </c>
      <c r="H57" s="5">
        <v>0</v>
      </c>
      <c r="I57" s="211">
        <v>0</v>
      </c>
      <c r="J57" s="211">
        <v>0</v>
      </c>
      <c r="K57" s="15">
        <f t="shared" si="14"/>
        <v>0</v>
      </c>
      <c r="M57" s="676">
        <f>SUMIF('1.0'!$D:$D,T_BS!D57,'1.0'!$N:$N)</f>
        <v>0</v>
      </c>
      <c r="N57" s="211">
        <f>SUMIF('2.0'!$D:$D,T_BS!D57,'2.0'!$N:$N)</f>
        <v>0</v>
      </c>
      <c r="O57" s="7">
        <f>ROUND(SUMIF('3.0'!$D:$D,T_BS!D57,'3.0'!$H:$H),0)</f>
        <v>0</v>
      </c>
      <c r="P57" s="210">
        <f>ROUND(SUMIF('4.0'!$D:$D,T_BS!D57,'4.0'!$N:$N),0)</f>
        <v>0</v>
      </c>
      <c r="Q57" s="7">
        <f>ROUND(SUMIF('5.0'!$D:$D,T_BS!D57,'5.0'!$N:$N),0)</f>
        <v>0</v>
      </c>
      <c r="R57" s="210">
        <f>ROUND(SUMIF('6.0'!$D:$D,T_BS!D57,'6.0'!$N:$N),0)</f>
        <v>0</v>
      </c>
      <c r="S57" s="210">
        <f>ROUND(SUMIF('7.0'!$D:$D,T_BS!D57,'7.0'!$I:$I),0)</f>
        <v>0</v>
      </c>
      <c r="T57" s="210">
        <f>ROUND(SUMIF('8.0'!$D:$D,T_BS!D57,'8.0'!$H:$H),0)</f>
        <v>0</v>
      </c>
      <c r="U57" s="15">
        <f t="shared" si="7"/>
        <v>0</v>
      </c>
      <c r="W57" s="39">
        <f t="shared" si="8"/>
        <v>0</v>
      </c>
      <c r="Y57" s="5"/>
      <c r="AB57" s="39">
        <v>0</v>
      </c>
      <c r="AC57" s="710">
        <f t="shared" si="3"/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1:35" ht="18" customHeight="1">
      <c r="A58" s="5"/>
      <c r="D58" s="14">
        <v>113340</v>
      </c>
      <c r="E58" s="6" t="s">
        <v>4</v>
      </c>
      <c r="F58" s="40">
        <v>1607</v>
      </c>
      <c r="G58" s="6" t="s">
        <v>59</v>
      </c>
      <c r="H58" s="5">
        <v>93286021</v>
      </c>
      <c r="I58" s="211">
        <v>0</v>
      </c>
      <c r="J58" s="211">
        <v>0</v>
      </c>
      <c r="K58" s="15">
        <f t="shared" si="14"/>
        <v>93286021</v>
      </c>
      <c r="M58" s="676">
        <f>SUMIF('1.0'!$D:$D,T_BS!D58,'1.0'!$N:$N)</f>
        <v>0</v>
      </c>
      <c r="N58" s="211">
        <f>SUMIF('2.0'!$D:$D,T_BS!D58,'2.0'!$N:$N)</f>
        <v>0</v>
      </c>
      <c r="O58" s="7">
        <f>ROUND(SUMIF('3.0'!$D:$D,T_BS!D58,'3.0'!$H:$H),0)</f>
        <v>0</v>
      </c>
      <c r="P58" s="210">
        <f>ROUND(SUMIF('4.0'!$D:$D,T_BS!D58,'4.0'!$N:$N),0)</f>
        <v>0</v>
      </c>
      <c r="Q58" s="7">
        <f>ROUND(SUMIF('5.0'!$D:$D,T_BS!D58,'5.0'!$N:$N),0)</f>
        <v>0</v>
      </c>
      <c r="R58" s="210">
        <f>ROUND(SUMIF('6.0'!$D:$D,T_BS!D58,'6.0'!$N:$N),0)</f>
        <v>0</v>
      </c>
      <c r="S58" s="210">
        <f>ROUND(SUMIF('7.0'!$D:$D,T_BS!D58,'7.0'!$I:$I),0)</f>
        <v>0</v>
      </c>
      <c r="T58" s="210">
        <f>ROUND(SUMIF('8.0'!$D:$D,T_BS!D58,'8.0'!$H:$H),0)</f>
        <v>0</v>
      </c>
      <c r="U58" s="15">
        <f t="shared" si="7"/>
        <v>0</v>
      </c>
      <c r="W58" s="39">
        <f t="shared" si="8"/>
        <v>93286021</v>
      </c>
      <c r="Y58" s="5"/>
      <c r="AB58" s="39">
        <v>93286021</v>
      </c>
      <c r="AC58" s="710">
        <f t="shared" si="3"/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</row>
    <row r="59" spans="1:35" ht="18" customHeight="1">
      <c r="A59" s="5"/>
      <c r="D59" s="14">
        <v>112511</v>
      </c>
      <c r="E59" s="6" t="s">
        <v>4</v>
      </c>
      <c r="F59" s="40">
        <v>1601</v>
      </c>
      <c r="G59" s="6" t="s">
        <v>60</v>
      </c>
      <c r="H59" s="5">
        <v>713958100</v>
      </c>
      <c r="I59" s="211">
        <v>0</v>
      </c>
      <c r="J59" s="211">
        <v>0</v>
      </c>
      <c r="K59" s="15">
        <f t="shared" si="14"/>
        <v>713958100</v>
      </c>
      <c r="M59" s="676">
        <f>SUMIF('1.0'!$D:$D,T_BS!D59,'1.0'!$N:$N)</f>
        <v>0</v>
      </c>
      <c r="N59" s="211">
        <f>SUMIF('2.0'!$D:$D,T_BS!D59,'2.0'!$N:$N)</f>
        <v>0</v>
      </c>
      <c r="O59" s="7">
        <f>ROUND(SUMIF('3.0'!$D:$D,T_BS!D59,'3.0'!$H:$H),0)</f>
        <v>0</v>
      </c>
      <c r="P59" s="210">
        <f>ROUND(SUMIF('4.0'!$D:$D,T_BS!D59,'4.0'!$N:$N),0)</f>
        <v>0</v>
      </c>
      <c r="Q59" s="7">
        <f>ROUND(SUMIF('5.0'!$D:$D,T_BS!D59,'5.0'!$N:$N),0)</f>
        <v>0</v>
      </c>
      <c r="R59" s="210">
        <f>ROUND(SUMIF('6.0'!$D:$D,T_BS!D59,'6.0'!$N:$N),0)</f>
        <v>0</v>
      </c>
      <c r="S59" s="210">
        <f>ROUND(SUMIF('7.0'!$D:$D,T_BS!D59,'7.0'!$I:$I),0)</f>
        <v>0</v>
      </c>
      <c r="T59" s="210">
        <f>ROUND(SUMIF('8.0'!$D:$D,T_BS!D59,'8.0'!$H:$H),0)</f>
        <v>0</v>
      </c>
      <c r="U59" s="15">
        <f t="shared" si="7"/>
        <v>0</v>
      </c>
      <c r="W59" s="39">
        <f t="shared" si="8"/>
        <v>713958100</v>
      </c>
      <c r="Y59" s="5"/>
      <c r="AB59" s="39">
        <v>735792486</v>
      </c>
      <c r="AC59" s="710">
        <f t="shared" si="3"/>
        <v>-21834386</v>
      </c>
      <c r="AE59" s="5">
        <v>-21834386</v>
      </c>
      <c r="AF59" s="5">
        <v>0</v>
      </c>
      <c r="AG59" s="5">
        <v>0</v>
      </c>
      <c r="AH59" s="5">
        <v>0</v>
      </c>
      <c r="AI59" s="5">
        <v>-21834386</v>
      </c>
    </row>
    <row r="60" spans="1:35" ht="18" customHeight="1">
      <c r="A60" s="5"/>
      <c r="D60" s="14">
        <v>112521</v>
      </c>
      <c r="E60" s="6" t="s">
        <v>4</v>
      </c>
      <c r="F60" s="40">
        <v>1601</v>
      </c>
      <c r="G60" s="6" t="s">
        <v>61</v>
      </c>
      <c r="H60" s="5">
        <v>0</v>
      </c>
      <c r="I60" s="211">
        <v>0</v>
      </c>
      <c r="J60" s="211">
        <v>0</v>
      </c>
      <c r="K60" s="15">
        <f t="shared" si="14"/>
        <v>0</v>
      </c>
      <c r="M60" s="676">
        <f>SUMIF('1.0'!$D:$D,T_BS!D60,'1.0'!$N:$N)</f>
        <v>0</v>
      </c>
      <c r="N60" s="211">
        <f>SUMIF('2.0'!$D:$D,T_BS!D60,'2.0'!$N:$N)</f>
        <v>0</v>
      </c>
      <c r="O60" s="7">
        <f>ROUND(SUMIF('3.0'!$D:$D,T_BS!D60,'3.0'!$H:$H),0)</f>
        <v>0</v>
      </c>
      <c r="P60" s="210">
        <f>ROUND(SUMIF('4.0'!$D:$D,T_BS!D60,'4.0'!$N:$N),0)</f>
        <v>0</v>
      </c>
      <c r="Q60" s="7">
        <f>ROUND(SUMIF('5.0'!$D:$D,T_BS!D60,'5.0'!$N:$N),0)</f>
        <v>0</v>
      </c>
      <c r="R60" s="210">
        <f>ROUND(SUMIF('6.0'!$D:$D,T_BS!D60,'6.0'!$N:$N),0)</f>
        <v>0</v>
      </c>
      <c r="S60" s="210">
        <f>ROUND(SUMIF('7.0'!$D:$D,T_BS!D60,'7.0'!$I:$I),0)</f>
        <v>0</v>
      </c>
      <c r="T60" s="210">
        <f>ROUND(SUMIF('8.0'!$D:$D,T_BS!D60,'8.0'!$H:$H),0)</f>
        <v>0</v>
      </c>
      <c r="U60" s="15">
        <f t="shared" si="7"/>
        <v>0</v>
      </c>
      <c r="W60" s="39">
        <f t="shared" si="8"/>
        <v>0</v>
      </c>
      <c r="Y60" s="5"/>
      <c r="AB60" s="39">
        <v>0</v>
      </c>
      <c r="AC60" s="710">
        <f t="shared" si="3"/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1:35" ht="18" customHeight="1">
      <c r="A61" s="5"/>
      <c r="D61" s="14">
        <v>112522</v>
      </c>
      <c r="E61" s="6" t="s">
        <v>4</v>
      </c>
      <c r="F61" s="40">
        <v>1601</v>
      </c>
      <c r="G61" s="6" t="s">
        <v>62</v>
      </c>
      <c r="H61" s="5">
        <v>0</v>
      </c>
      <c r="I61" s="211">
        <v>0</v>
      </c>
      <c r="J61" s="211">
        <v>0</v>
      </c>
      <c r="K61" s="15">
        <f t="shared" si="14"/>
        <v>0</v>
      </c>
      <c r="M61" s="676">
        <f>SUMIF('1.0'!$D:$D,T_BS!D61,'1.0'!$N:$N)</f>
        <v>0</v>
      </c>
      <c r="N61" s="211">
        <f>SUMIF('2.0'!$D:$D,T_BS!D61,'2.0'!$N:$N)</f>
        <v>0</v>
      </c>
      <c r="O61" s="7">
        <f>ROUND(SUMIF('3.0'!$D:$D,T_BS!D61,'3.0'!$H:$H),0)</f>
        <v>0</v>
      </c>
      <c r="P61" s="210">
        <f>ROUND(SUMIF('4.0'!$D:$D,T_BS!D61,'4.0'!$N:$N),0)</f>
        <v>0</v>
      </c>
      <c r="Q61" s="7">
        <f>ROUND(SUMIF('5.0'!$D:$D,T_BS!D61,'5.0'!$N:$N),0)</f>
        <v>0</v>
      </c>
      <c r="R61" s="210">
        <f>ROUND(SUMIF('6.0'!$D:$D,T_BS!D61,'6.0'!$N:$N),0)</f>
        <v>0</v>
      </c>
      <c r="S61" s="210">
        <f>ROUND(SUMIF('7.0'!$D:$D,T_BS!D61,'7.0'!$I:$I),0)</f>
        <v>0</v>
      </c>
      <c r="T61" s="210">
        <f>ROUND(SUMIF('8.0'!$D:$D,T_BS!D61,'8.0'!$H:$H),0)</f>
        <v>0</v>
      </c>
      <c r="U61" s="15">
        <f t="shared" si="7"/>
        <v>0</v>
      </c>
      <c r="W61" s="39">
        <f t="shared" si="8"/>
        <v>0</v>
      </c>
      <c r="Y61" s="5"/>
      <c r="AB61" s="39">
        <v>225022447</v>
      </c>
      <c r="AC61" s="710">
        <f t="shared" si="3"/>
        <v>-225022447</v>
      </c>
      <c r="AE61" s="5">
        <v>-225022447</v>
      </c>
      <c r="AF61" s="5">
        <v>0</v>
      </c>
      <c r="AG61" s="5">
        <v>0</v>
      </c>
      <c r="AH61" s="5">
        <v>0</v>
      </c>
      <c r="AI61" s="5">
        <v>-225022447</v>
      </c>
    </row>
    <row r="62" spans="1:35" ht="18" customHeight="1">
      <c r="A62" s="5"/>
      <c r="D62" s="14">
        <v>112531</v>
      </c>
      <c r="E62" s="6" t="s">
        <v>4</v>
      </c>
      <c r="F62" s="40">
        <v>1601</v>
      </c>
      <c r="G62" s="6" t="s">
        <v>63</v>
      </c>
      <c r="H62" s="5">
        <v>290794298</v>
      </c>
      <c r="I62" s="211">
        <v>22825450</v>
      </c>
      <c r="J62" s="211">
        <v>4824863</v>
      </c>
      <c r="K62" s="15">
        <f t="shared" si="14"/>
        <v>318444611</v>
      </c>
      <c r="M62" s="676">
        <f>SUMIF('1.0'!$D:$D,T_BS!D62,'1.0'!$N:$N)</f>
        <v>0</v>
      </c>
      <c r="N62" s="211">
        <f>SUMIF('2.0'!$D:$D,T_BS!D62,'2.0'!$N:$N)</f>
        <v>0</v>
      </c>
      <c r="O62" s="7">
        <f>ROUND(SUMIF('3.0'!$D:$D,T_BS!D62,'3.0'!$H:$H),0)</f>
        <v>0</v>
      </c>
      <c r="P62" s="210">
        <f>ROUND(SUMIF('4.0'!$D:$D,T_BS!D62,'4.0'!$N:$N),0)</f>
        <v>0</v>
      </c>
      <c r="Q62" s="7">
        <f>ROUND(SUMIF('5.0'!$D:$D,T_BS!D62,'5.0'!$N:$N),0)</f>
        <v>0</v>
      </c>
      <c r="R62" s="210">
        <f>ROUND(SUMIF('6.0'!$D:$D,T_BS!D62,'6.0'!$N:$N),0)</f>
        <v>0</v>
      </c>
      <c r="S62" s="210">
        <f>ROUND(SUMIF('7.0'!$D:$D,T_BS!D62,'7.0'!$I:$I),0)</f>
        <v>0</v>
      </c>
      <c r="T62" s="210">
        <f>ROUND(SUMIF('8.0'!$D:$D,T_BS!D62,'8.0'!$H:$H),0)</f>
        <v>0</v>
      </c>
      <c r="U62" s="15">
        <f t="shared" si="7"/>
        <v>0</v>
      </c>
      <c r="W62" s="39">
        <f t="shared" si="8"/>
        <v>318444611</v>
      </c>
      <c r="Y62" s="5"/>
      <c r="AB62" s="39">
        <v>318464315</v>
      </c>
      <c r="AC62" s="710">
        <f t="shared" si="3"/>
        <v>-19704</v>
      </c>
      <c r="AE62" s="5">
        <v>0</v>
      </c>
      <c r="AF62" s="5">
        <v>0</v>
      </c>
      <c r="AG62" s="5">
        <v>-19704</v>
      </c>
      <c r="AH62" s="5">
        <v>0</v>
      </c>
      <c r="AI62" s="5">
        <v>-19704</v>
      </c>
    </row>
    <row r="63" spans="1:35" ht="18" customHeight="1">
      <c r="A63" s="5"/>
      <c r="D63" s="14">
        <v>112533</v>
      </c>
      <c r="E63" s="6" t="s">
        <v>4</v>
      </c>
      <c r="F63" s="40">
        <v>1601</v>
      </c>
      <c r="G63" s="6" t="s">
        <v>64</v>
      </c>
      <c r="H63" s="5">
        <v>0</v>
      </c>
      <c r="I63" s="211">
        <v>0</v>
      </c>
      <c r="J63" s="211">
        <v>0</v>
      </c>
      <c r="K63" s="15">
        <f t="shared" si="14"/>
        <v>0</v>
      </c>
      <c r="M63" s="676">
        <f>SUMIF('1.0'!$D:$D,T_BS!D63,'1.0'!$N:$N)</f>
        <v>0</v>
      </c>
      <c r="N63" s="211">
        <f>SUMIF('2.0'!$D:$D,T_BS!D63,'2.0'!$N:$N)</f>
        <v>0</v>
      </c>
      <c r="O63" s="7">
        <f>ROUND(SUMIF('3.0'!$D:$D,T_BS!D63,'3.0'!$H:$H),0)</f>
        <v>0</v>
      </c>
      <c r="P63" s="210">
        <f>ROUND(SUMIF('4.0'!$D:$D,T_BS!D63,'4.0'!$N:$N),0)</f>
        <v>0</v>
      </c>
      <c r="Q63" s="7">
        <f>ROUND(SUMIF('5.0'!$D:$D,T_BS!D63,'5.0'!$N:$N),0)</f>
        <v>0</v>
      </c>
      <c r="R63" s="210">
        <f>ROUND(SUMIF('6.0'!$D:$D,T_BS!D63,'6.0'!$N:$N),0)</f>
        <v>0</v>
      </c>
      <c r="S63" s="210">
        <f>ROUND(SUMIF('7.0'!$D:$D,T_BS!D63,'7.0'!$I:$I),0)</f>
        <v>0</v>
      </c>
      <c r="T63" s="210">
        <f>ROUND(SUMIF('8.0'!$D:$D,T_BS!D63,'8.0'!$H:$H),0)</f>
        <v>0</v>
      </c>
      <c r="U63" s="15">
        <f t="shared" si="7"/>
        <v>0</v>
      </c>
      <c r="W63" s="39">
        <f t="shared" si="8"/>
        <v>0</v>
      </c>
      <c r="Y63" s="5"/>
      <c r="AB63" s="39">
        <v>0</v>
      </c>
      <c r="AC63" s="710">
        <f t="shared" si="3"/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</row>
    <row r="64" spans="1:35" ht="18" customHeight="1">
      <c r="A64" s="5"/>
      <c r="D64" s="14">
        <v>112536</v>
      </c>
      <c r="E64" s="6" t="s">
        <v>4</v>
      </c>
      <c r="F64" s="40">
        <v>1601</v>
      </c>
      <c r="G64" s="6" t="s">
        <v>1801</v>
      </c>
      <c r="H64" s="5">
        <v>0</v>
      </c>
      <c r="I64" s="211">
        <v>0</v>
      </c>
      <c r="J64" s="211">
        <v>0</v>
      </c>
      <c r="K64" s="15">
        <f t="shared" si="14"/>
        <v>0</v>
      </c>
      <c r="M64" s="676">
        <f>SUMIF('1.0'!$D:$D,T_BS!D64,'1.0'!$N:$N)</f>
        <v>0</v>
      </c>
      <c r="N64" s="211">
        <f>SUMIF('2.0'!$D:$D,T_BS!D64,'2.0'!$N:$N)</f>
        <v>0</v>
      </c>
      <c r="O64" s="7">
        <f>ROUND(SUMIF('3.0'!$D:$D,T_BS!D64,'3.0'!$H:$H),0)</f>
        <v>0</v>
      </c>
      <c r="P64" s="210">
        <f>ROUND(SUMIF('4.0'!$D:$D,T_BS!D64,'4.0'!$N:$N),0)</f>
        <v>0</v>
      </c>
      <c r="Q64" s="7">
        <f>ROUND(SUMIF('5.0'!$D:$D,T_BS!D64,'5.0'!$N:$N),0)</f>
        <v>0</v>
      </c>
      <c r="R64" s="210">
        <f>ROUND(SUMIF('6.0'!$D:$D,T_BS!D64,'6.0'!$N:$N),0)</f>
        <v>0</v>
      </c>
      <c r="S64" s="210">
        <f>ROUND(SUMIF('7.0'!$D:$D,T_BS!D64,'7.0'!$I:$I),0)</f>
        <v>0</v>
      </c>
      <c r="T64" s="210">
        <f>ROUND(SUMIF('8.0'!$D:$D,T_BS!D64,'8.0'!$H:$H),0)</f>
        <v>0</v>
      </c>
      <c r="U64" s="15">
        <f t="shared" si="7"/>
        <v>0</v>
      </c>
      <c r="W64" s="39">
        <f t="shared" si="8"/>
        <v>0</v>
      </c>
      <c r="Y64" s="5"/>
      <c r="AB64" s="39">
        <v>0</v>
      </c>
      <c r="AC64" s="710">
        <f t="shared" si="3"/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</row>
    <row r="65" spans="1:35" ht="18" customHeight="1">
      <c r="A65" s="5"/>
      <c r="D65" s="14">
        <v>112534</v>
      </c>
      <c r="E65" s="6" t="s">
        <v>4</v>
      </c>
      <c r="F65" s="40">
        <v>1601</v>
      </c>
      <c r="G65" s="6" t="s">
        <v>65</v>
      </c>
      <c r="H65" s="5">
        <v>0</v>
      </c>
      <c r="I65" s="211">
        <v>0</v>
      </c>
      <c r="J65" s="211">
        <v>0</v>
      </c>
      <c r="K65" s="15">
        <f t="shared" si="14"/>
        <v>0</v>
      </c>
      <c r="M65" s="676">
        <f>SUMIF('1.0'!$D:$D,T_BS!D65,'1.0'!$N:$N)</f>
        <v>0</v>
      </c>
      <c r="N65" s="211">
        <f>SUMIF('2.0'!$D:$D,T_BS!D65,'2.0'!$N:$N)</f>
        <v>0</v>
      </c>
      <c r="O65" s="7">
        <f>ROUND(SUMIF('3.0'!$D:$D,T_BS!D65,'3.0'!$H:$H),0)</f>
        <v>0</v>
      </c>
      <c r="P65" s="210">
        <f>ROUND(SUMIF('4.0'!$D:$D,T_BS!D65,'4.0'!$N:$N),0)</f>
        <v>0</v>
      </c>
      <c r="Q65" s="7">
        <f>ROUND(SUMIF('5.0'!$D:$D,T_BS!D65,'5.0'!$N:$N),0)</f>
        <v>0</v>
      </c>
      <c r="R65" s="210">
        <f>ROUND(SUMIF('6.0'!$D:$D,T_BS!D65,'6.0'!$N:$N),0)</f>
        <v>0</v>
      </c>
      <c r="S65" s="210">
        <f>ROUND(SUMIF('7.0'!$D:$D,T_BS!D65,'7.0'!$I:$I),0)</f>
        <v>0</v>
      </c>
      <c r="T65" s="210">
        <f>ROUND(SUMIF('8.0'!$D:$D,T_BS!D65,'8.0'!$H:$H),0)</f>
        <v>0</v>
      </c>
      <c r="U65" s="15">
        <f t="shared" si="7"/>
        <v>0</v>
      </c>
      <c r="W65" s="39">
        <f t="shared" si="8"/>
        <v>0</v>
      </c>
      <c r="Y65" s="5"/>
      <c r="AB65" s="39">
        <v>0</v>
      </c>
      <c r="AC65" s="710">
        <f t="shared" si="3"/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</row>
    <row r="66" spans="1:35" ht="18" customHeight="1">
      <c r="A66" s="5"/>
      <c r="D66" s="14">
        <v>112535</v>
      </c>
      <c r="E66" s="6" t="s">
        <v>4</v>
      </c>
      <c r="F66" s="40">
        <v>1601</v>
      </c>
      <c r="G66" s="6" t="s">
        <v>66</v>
      </c>
      <c r="H66" s="5">
        <v>0</v>
      </c>
      <c r="I66" s="211">
        <v>0</v>
      </c>
      <c r="J66" s="211">
        <v>0</v>
      </c>
      <c r="K66" s="15">
        <f t="shared" si="14"/>
        <v>0</v>
      </c>
      <c r="M66" s="676">
        <f>SUMIF('1.0'!$D:$D,T_BS!D66,'1.0'!$N:$N)</f>
        <v>0</v>
      </c>
      <c r="N66" s="211">
        <f>SUMIF('2.0'!$D:$D,T_BS!D66,'2.0'!$N:$N)</f>
        <v>0</v>
      </c>
      <c r="O66" s="7">
        <f>ROUND(SUMIF('3.0'!$D:$D,T_BS!D66,'3.0'!$H:$H),0)</f>
        <v>0</v>
      </c>
      <c r="P66" s="210">
        <f>ROUND(SUMIF('4.0'!$D:$D,T_BS!D66,'4.0'!$N:$N),0)</f>
        <v>0</v>
      </c>
      <c r="Q66" s="7">
        <f>ROUND(SUMIF('5.0'!$D:$D,T_BS!D66,'5.0'!$N:$N),0)</f>
        <v>0</v>
      </c>
      <c r="R66" s="210">
        <f>ROUND(SUMIF('6.0'!$D:$D,T_BS!D66,'6.0'!$N:$N),0)</f>
        <v>0</v>
      </c>
      <c r="S66" s="210">
        <f>ROUND(SUMIF('7.0'!$D:$D,T_BS!D66,'7.0'!$I:$I),0)</f>
        <v>0</v>
      </c>
      <c r="T66" s="210">
        <f>ROUND(SUMIF('8.0'!$D:$D,T_BS!D66,'8.0'!$H:$H),0)</f>
        <v>0</v>
      </c>
      <c r="U66" s="15">
        <f t="shared" si="7"/>
        <v>0</v>
      </c>
      <c r="W66" s="39">
        <f t="shared" si="8"/>
        <v>0</v>
      </c>
      <c r="Y66" s="5"/>
      <c r="AB66" s="39">
        <v>0</v>
      </c>
      <c r="AC66" s="710">
        <f t="shared" si="3"/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</row>
    <row r="67" spans="1:35" ht="18" customHeight="1">
      <c r="A67" s="5"/>
      <c r="D67" s="14">
        <v>112538</v>
      </c>
      <c r="E67" s="6" t="s">
        <v>4</v>
      </c>
      <c r="F67" s="40">
        <v>1601</v>
      </c>
      <c r="G67" s="6" t="s">
        <v>1800</v>
      </c>
      <c r="H67" s="5">
        <v>541478512</v>
      </c>
      <c r="I67" s="211">
        <v>0</v>
      </c>
      <c r="J67" s="211">
        <v>0</v>
      </c>
      <c r="K67" s="15">
        <f t="shared" si="14"/>
        <v>541478512</v>
      </c>
      <c r="M67" s="676">
        <f>SUMIF('1.0'!$D:$D,T_BS!D67,'1.0'!$N:$N)</f>
        <v>0</v>
      </c>
      <c r="N67" s="211">
        <f>SUMIF('2.0'!$D:$D,T_BS!D67,'2.0'!$N:$N)</f>
        <v>0</v>
      </c>
      <c r="O67" s="7">
        <f>ROUND(SUMIF('3.0'!$D:$D,T_BS!D67,'3.0'!$H:$H),0)</f>
        <v>0</v>
      </c>
      <c r="P67" s="210">
        <f>ROUND(SUMIF('4.0'!$D:$D,T_BS!D67,'4.0'!$N:$N),0)</f>
        <v>0</v>
      </c>
      <c r="Q67" s="7">
        <f>ROUND(SUMIF('5.0'!$D:$D,T_BS!D67,'5.0'!$N:$N),0)</f>
        <v>0</v>
      </c>
      <c r="R67" s="210">
        <f>ROUND(SUMIF('6.0'!$D:$D,T_BS!D67,'6.0'!$N:$N),0)</f>
        <v>0</v>
      </c>
      <c r="S67" s="210">
        <f>ROUND(SUMIF('7.0'!$D:$D,T_BS!D67,'7.0'!$I:$I),0)</f>
        <v>0</v>
      </c>
      <c r="T67" s="210">
        <f>ROUND(SUMIF('8.0'!$D:$D,T_BS!D67,'8.0'!$H:$H),0)</f>
        <v>0</v>
      </c>
      <c r="U67" s="15">
        <f t="shared" si="7"/>
        <v>0</v>
      </c>
      <c r="W67" s="39">
        <f t="shared" si="8"/>
        <v>541478512</v>
      </c>
      <c r="Y67" s="5"/>
      <c r="AB67" s="39">
        <v>541478512</v>
      </c>
      <c r="AC67" s="710">
        <f t="shared" si="3"/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</row>
    <row r="68" spans="1:35" ht="18" customHeight="1">
      <c r="A68" s="5"/>
      <c r="D68" s="14" t="s">
        <v>1977</v>
      </c>
      <c r="E68" s="6" t="s">
        <v>4</v>
      </c>
      <c r="F68" s="40">
        <v>1601</v>
      </c>
      <c r="G68" s="6" t="s">
        <v>1978</v>
      </c>
      <c r="H68" s="5">
        <v>179550000</v>
      </c>
      <c r="I68" s="211">
        <v>0</v>
      </c>
      <c r="J68" s="211">
        <v>0</v>
      </c>
      <c r="K68" s="15">
        <f>SUM(H68:J68)</f>
        <v>179550000</v>
      </c>
      <c r="M68" s="676">
        <f>SUMIF('1.0'!$D:$D,T_BS!D68,'1.0'!$N:$N)</f>
        <v>0</v>
      </c>
      <c r="N68" s="211">
        <f>SUMIF('2.0'!$D:$D,T_BS!D68,'2.0'!$N:$N)</f>
        <v>0</v>
      </c>
      <c r="O68" s="7">
        <f>ROUND(SUMIF('3.0'!$D:$D,T_BS!D68,'3.0'!$H:$H),0)</f>
        <v>0</v>
      </c>
      <c r="P68" s="210">
        <f>ROUND(SUMIF('4.0'!$D:$D,T_BS!D68,'4.0'!$N:$N),0)</f>
        <v>0</v>
      </c>
      <c r="Q68" s="7">
        <f>ROUND(SUMIF('5.0'!$D:$D,T_BS!D68,'5.0'!$N:$N),0)</f>
        <v>0</v>
      </c>
      <c r="R68" s="210">
        <f>ROUND(SUMIF('6.0'!$D:$D,T_BS!D68,'6.0'!$N:$N),0)</f>
        <v>0</v>
      </c>
      <c r="S68" s="210">
        <f>ROUND(SUMIF('7.0'!$D:$D,T_BS!D68,'7.0'!$I:$I),0)</f>
        <v>0</v>
      </c>
      <c r="T68" s="210">
        <f>ROUND(SUMIF('8.0'!$D:$D,T_BS!D68,'8.0'!$H:$H),0)</f>
        <v>0</v>
      </c>
      <c r="U68" s="15">
        <f>SUM(M68:T68)</f>
        <v>0</v>
      </c>
      <c r="W68" s="39">
        <f>U68+K68</f>
        <v>179550000</v>
      </c>
      <c r="Y68" s="5"/>
      <c r="AB68" s="39">
        <v>179550000</v>
      </c>
      <c r="AC68" s="710">
        <f t="shared" si="3"/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</row>
    <row r="69" spans="1:35" ht="18" customHeight="1">
      <c r="A69" s="5"/>
      <c r="D69" s="14">
        <v>112900</v>
      </c>
      <c r="E69" s="6" t="s">
        <v>4</v>
      </c>
      <c r="F69" s="40">
        <v>112900</v>
      </c>
      <c r="G69" s="6" t="s">
        <v>67</v>
      </c>
      <c r="H69" s="5">
        <v>0</v>
      </c>
      <c r="I69" s="211">
        <v>0</v>
      </c>
      <c r="J69" s="211">
        <v>567951</v>
      </c>
      <c r="K69" s="15">
        <f t="shared" si="14"/>
        <v>567951</v>
      </c>
      <c r="M69" s="676">
        <f>SUMIF('1.0'!$D:$D,T_BS!D69,'1.0'!$N:$N)</f>
        <v>0</v>
      </c>
      <c r="N69" s="211">
        <f>SUMIF('2.0'!$D:$D,T_BS!D69,'2.0'!$N:$N)</f>
        <v>0</v>
      </c>
      <c r="O69" s="7">
        <f>ROUND(SUMIF('3.0'!$D:$D,T_BS!D69,'3.0'!$H:$H),0)</f>
        <v>0</v>
      </c>
      <c r="P69" s="210">
        <f>ROUND(SUMIF('4.0'!$D:$D,T_BS!D69,'4.0'!$N:$N),0)</f>
        <v>0</v>
      </c>
      <c r="Q69" s="7">
        <f>ROUND(SUMIF('5.0'!$D:$D,T_BS!D69,'5.0'!$N:$N),0)</f>
        <v>0</v>
      </c>
      <c r="R69" s="210">
        <f>ROUND(SUMIF('6.0'!$D:$D,T_BS!D69,'6.0'!$N:$N),0)</f>
        <v>0</v>
      </c>
      <c r="S69" s="210">
        <f>ROUND(SUMIF('7.0'!$D:$D,T_BS!D69,'7.0'!$I:$I),0)</f>
        <v>0</v>
      </c>
      <c r="T69" s="210">
        <f>ROUND(SUMIF('8.0'!$D:$D,T_BS!D69,'8.0'!$H:$H),0)</f>
        <v>0</v>
      </c>
      <c r="U69" s="15">
        <f t="shared" si="7"/>
        <v>0</v>
      </c>
      <c r="W69" s="39">
        <f t="shared" si="8"/>
        <v>567951</v>
      </c>
      <c r="Y69" s="5"/>
      <c r="AB69" s="39">
        <v>0</v>
      </c>
      <c r="AC69" s="710">
        <f t="shared" si="3"/>
        <v>567951</v>
      </c>
      <c r="AE69" s="5">
        <v>0</v>
      </c>
      <c r="AF69" s="5">
        <v>0</v>
      </c>
      <c r="AG69" s="5">
        <v>-134953313</v>
      </c>
      <c r="AH69" s="5">
        <v>135521264</v>
      </c>
      <c r="AI69" s="5">
        <v>567951</v>
      </c>
    </row>
    <row r="70" spans="1:35" ht="18" customHeight="1">
      <c r="A70" s="5"/>
      <c r="D70" s="14" t="s">
        <v>68</v>
      </c>
      <c r="E70" s="6" t="s">
        <v>4</v>
      </c>
      <c r="F70" s="40">
        <v>112900</v>
      </c>
      <c r="G70" s="6" t="s">
        <v>69</v>
      </c>
      <c r="H70" s="5">
        <v>354388</v>
      </c>
      <c r="I70" s="211">
        <v>0</v>
      </c>
      <c r="J70" s="211">
        <v>135550267</v>
      </c>
      <c r="K70" s="15">
        <f t="shared" si="14"/>
        <v>135904655</v>
      </c>
      <c r="M70" s="676">
        <f>SUMIF('1.0'!$D:$D,T_BS!D70,'1.0'!$N:$N)</f>
        <v>0</v>
      </c>
      <c r="N70" s="211">
        <f>SUMIF('2.0'!$D:$D,T_BS!D70,'2.0'!$N:$N)</f>
        <v>0</v>
      </c>
      <c r="O70" s="7">
        <f>ROUND(SUMIF('3.0'!$D:$D,T_BS!D70,'3.0'!$H:$H),0)</f>
        <v>0</v>
      </c>
      <c r="P70" s="210">
        <f>ROUND(SUMIF('4.0'!$D:$D,T_BS!D70,'4.0'!$N:$N),0)</f>
        <v>0</v>
      </c>
      <c r="Q70" s="7">
        <f>ROUND(SUMIF('5.0'!$D:$D,T_BS!D70,'5.0'!$N:$N),0)</f>
        <v>0</v>
      </c>
      <c r="R70" s="210">
        <f>ROUND(SUMIF('6.0'!$D:$D,T_BS!D70,'6.0'!$N:$N),0)</f>
        <v>0</v>
      </c>
      <c r="S70" s="210">
        <f>ROUND(SUMIF('7.0'!$D:$D,T_BS!D70,'7.0'!$I:$I),0)</f>
        <v>0</v>
      </c>
      <c r="T70" s="210">
        <f>ROUND(SUMIF('8.0'!$D:$D,T_BS!D70,'8.0'!$H:$H),0)</f>
        <v>0</v>
      </c>
      <c r="U70" s="15">
        <f t="shared" si="7"/>
        <v>0</v>
      </c>
      <c r="W70" s="39">
        <f t="shared" si="8"/>
        <v>135904655</v>
      </c>
      <c r="Y70" s="5"/>
      <c r="AB70" s="39">
        <v>354388</v>
      </c>
      <c r="AC70" s="710">
        <f t="shared" si="3"/>
        <v>135550267</v>
      </c>
      <c r="AE70" s="5">
        <v>0</v>
      </c>
      <c r="AF70" s="5">
        <v>0</v>
      </c>
      <c r="AG70" s="5">
        <v>135550267</v>
      </c>
      <c r="AH70" s="5">
        <v>0</v>
      </c>
      <c r="AI70" s="5">
        <v>135550267</v>
      </c>
    </row>
    <row r="71" spans="1:35" ht="18" customHeight="1">
      <c r="A71" s="5"/>
      <c r="D71" s="12"/>
      <c r="E71" s="31"/>
      <c r="F71" s="32"/>
      <c r="G71" s="31" t="s">
        <v>70</v>
      </c>
      <c r="H71" s="479">
        <f>SUM(H72,H81,H86,H90,H115,H140)</f>
        <v>29318507937</v>
      </c>
      <c r="I71" s="446">
        <f>SUM(I72,I81,I86,I90,I115,I140)</f>
        <v>38624984</v>
      </c>
      <c r="J71" s="446">
        <f>SUM(J72,J81,J86,J90,J115,J140)</f>
        <v>718833138</v>
      </c>
      <c r="K71" s="461">
        <f>SUM(K72,K81,K86,K90,K115,K140)</f>
        <v>30075966059</v>
      </c>
      <c r="M71" s="445">
        <f t="shared" ref="M71:U71" si="15">SUM(M72,M81,M86,M90,M115,M140)</f>
        <v>19842800</v>
      </c>
      <c r="N71" s="446">
        <f t="shared" si="15"/>
        <v>0</v>
      </c>
      <c r="O71" s="446">
        <f t="shared" si="15"/>
        <v>0</v>
      </c>
      <c r="P71" s="446">
        <f t="shared" si="15"/>
        <v>0</v>
      </c>
      <c r="Q71" s="446">
        <f t="shared" si="15"/>
        <v>1998694169</v>
      </c>
      <c r="R71" s="446">
        <f t="shared" si="15"/>
        <v>0</v>
      </c>
      <c r="S71" s="446">
        <f t="shared" si="15"/>
        <v>0</v>
      </c>
      <c r="T71" s="446">
        <f t="shared" si="15"/>
        <v>-5928999995</v>
      </c>
      <c r="U71" s="461">
        <f t="shared" si="15"/>
        <v>-3910463026</v>
      </c>
      <c r="W71" s="33">
        <f>SUM(W72,W81,W86,W90,W115,W140)</f>
        <v>26165503033</v>
      </c>
      <c r="Y71" s="5"/>
      <c r="AB71" s="33">
        <v>25832534859</v>
      </c>
      <c r="AC71" s="710">
        <f t="shared" si="3"/>
        <v>332968174</v>
      </c>
      <c r="AE71" s="5">
        <v>-69332917</v>
      </c>
      <c r="AF71" s="5">
        <v>0</v>
      </c>
      <c r="AG71" s="5">
        <v>402301091</v>
      </c>
      <c r="AH71" s="5">
        <v>0</v>
      </c>
      <c r="AI71" s="5">
        <v>332968174</v>
      </c>
    </row>
    <row r="72" spans="1:35" ht="18" customHeight="1">
      <c r="A72" s="5"/>
      <c r="D72" s="13"/>
      <c r="E72" s="34"/>
      <c r="F72" s="35"/>
      <c r="G72" s="34" t="s">
        <v>71</v>
      </c>
      <c r="H72" s="484">
        <f>SUM(H73:H80)</f>
        <v>1640908105</v>
      </c>
      <c r="I72" s="417">
        <f>SUM(I73:I80)</f>
        <v>0</v>
      </c>
      <c r="J72" s="417">
        <f>SUM(J73:J80)</f>
        <v>9488340</v>
      </c>
      <c r="K72" s="645">
        <f>SUM(K73:K80)</f>
        <v>1650396445</v>
      </c>
      <c r="M72" s="675">
        <f t="shared" ref="M72:U72" si="16">SUM(M73:M80)</f>
        <v>0</v>
      </c>
      <c r="N72" s="417">
        <f t="shared" si="16"/>
        <v>0</v>
      </c>
      <c r="O72" s="417">
        <f t="shared" si="16"/>
        <v>0</v>
      </c>
      <c r="P72" s="417">
        <f t="shared" si="16"/>
        <v>0</v>
      </c>
      <c r="Q72" s="417">
        <f t="shared" si="16"/>
        <v>0</v>
      </c>
      <c r="R72" s="417">
        <f t="shared" si="16"/>
        <v>0</v>
      </c>
      <c r="S72" s="417">
        <f t="shared" si="16"/>
        <v>0</v>
      </c>
      <c r="T72" s="417">
        <f t="shared" si="16"/>
        <v>0</v>
      </c>
      <c r="U72" s="645">
        <f t="shared" si="16"/>
        <v>0</v>
      </c>
      <c r="W72" s="36">
        <f>SUM(W73:W80)</f>
        <v>1650396445</v>
      </c>
      <c r="Y72" s="5"/>
      <c r="AB72" s="36">
        <v>1701480082</v>
      </c>
      <c r="AC72" s="710">
        <f t="shared" ref="AC72:AC135" si="17">W72-AB72</f>
        <v>-51083637</v>
      </c>
      <c r="AE72" s="5">
        <v>-51083637</v>
      </c>
      <c r="AF72" s="5">
        <v>0</v>
      </c>
      <c r="AG72" s="5">
        <v>0</v>
      </c>
      <c r="AH72" s="5">
        <v>0</v>
      </c>
      <c r="AI72" s="5">
        <v>-51083637</v>
      </c>
    </row>
    <row r="73" spans="1:35" ht="18" customHeight="1">
      <c r="A73" s="5"/>
      <c r="D73" s="14">
        <v>121551</v>
      </c>
      <c r="E73" s="6" t="s">
        <v>1707</v>
      </c>
      <c r="F73" s="40" t="s">
        <v>2006</v>
      </c>
      <c r="G73" s="6" t="s">
        <v>72</v>
      </c>
      <c r="H73" s="5">
        <v>100000000</v>
      </c>
      <c r="I73" s="211">
        <v>0</v>
      </c>
      <c r="J73" s="211">
        <v>9488340</v>
      </c>
      <c r="K73" s="15">
        <f t="shared" ref="K73:K80" si="18">SUM(H73:J73)</f>
        <v>109488340</v>
      </c>
      <c r="M73" s="676">
        <f>SUMIF('1.0'!$D:$D,T_BS!D73,'1.0'!$N:$N)</f>
        <v>0</v>
      </c>
      <c r="N73" s="211">
        <f>SUMIF('2.0'!$D:$D,T_BS!D73,'2.0'!$N:$N)</f>
        <v>0</v>
      </c>
      <c r="O73" s="7">
        <f>ROUND(SUMIF('3.0'!$D:$D,T_BS!D73,'3.0'!$H:$H),0)</f>
        <v>0</v>
      </c>
      <c r="P73" s="210">
        <f>ROUND(SUMIF('4.0'!$D:$D,T_BS!D73,'4.0'!$N:$N),0)</f>
        <v>0</v>
      </c>
      <c r="Q73" s="7">
        <f>ROUND(SUMIF('5.0'!$D:$D,T_BS!D73,'5.0'!$N:$N),0)</f>
        <v>0</v>
      </c>
      <c r="R73" s="210">
        <f>ROUND(SUMIF('6.0'!$D:$D,T_BS!D73,'6.0'!$N:$N),0)</f>
        <v>0</v>
      </c>
      <c r="S73" s="210">
        <f>ROUND(SUMIF('7.0'!$D:$D,T_BS!D73,'7.0'!$I:$I),0)</f>
        <v>0</v>
      </c>
      <c r="T73" s="210">
        <f>ROUND(SUMIF('8.0'!$D:$D,T_BS!D73,'8.0'!$H:$H),0)</f>
        <v>0</v>
      </c>
      <c r="U73" s="15">
        <f t="shared" ref="U73:U80" si="19">SUM(M73:T73)</f>
        <v>0</v>
      </c>
      <c r="W73" s="39">
        <f t="shared" ref="W73:W80" si="20">U73+K73</f>
        <v>109488340</v>
      </c>
      <c r="Y73" s="5"/>
      <c r="AB73" s="39">
        <v>109488340</v>
      </c>
      <c r="AC73" s="710">
        <f t="shared" si="17"/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</row>
    <row r="74" spans="1:35" ht="18" customHeight="1">
      <c r="A74" s="5"/>
      <c r="D74" s="14">
        <v>121511</v>
      </c>
      <c r="E74" s="6" t="s">
        <v>1707</v>
      </c>
      <c r="F74" s="37">
        <v>2101</v>
      </c>
      <c r="G74" s="6" t="s">
        <v>73</v>
      </c>
      <c r="H74" s="5">
        <v>1257560</v>
      </c>
      <c r="I74" s="211">
        <v>0</v>
      </c>
      <c r="J74" s="211">
        <v>0</v>
      </c>
      <c r="K74" s="15">
        <f t="shared" si="18"/>
        <v>1257560</v>
      </c>
      <c r="M74" s="676">
        <f>SUMIF('1.0'!$D:$D,T_BS!D74,'1.0'!$N:$N)</f>
        <v>0</v>
      </c>
      <c r="N74" s="211">
        <f>SUMIF('2.0'!$D:$D,T_BS!D74,'2.0'!$N:$N)</f>
        <v>0</v>
      </c>
      <c r="O74" s="7">
        <f>ROUND(SUMIF('3.0'!$D:$D,T_BS!D74,'3.0'!$H:$H),0)</f>
        <v>0</v>
      </c>
      <c r="P74" s="210">
        <f>ROUND(SUMIF('4.0'!$D:$D,T_BS!D74,'4.0'!$N:$N),0)</f>
        <v>0</v>
      </c>
      <c r="Q74" s="7">
        <f>ROUND(SUMIF('5.0'!$D:$D,T_BS!D74,'5.0'!$N:$N),0)</f>
        <v>0</v>
      </c>
      <c r="R74" s="210">
        <f>ROUND(SUMIF('6.0'!$D:$D,T_BS!D74,'6.0'!$N:$N),0)</f>
        <v>0</v>
      </c>
      <c r="S74" s="210">
        <f>ROUND(SUMIF('7.0'!$D:$D,T_BS!D74,'7.0'!$I:$I),0)</f>
        <v>0</v>
      </c>
      <c r="T74" s="210">
        <f>ROUND(SUMIF('8.0'!$D:$D,T_BS!D74,'8.0'!$H:$H),0)</f>
        <v>0</v>
      </c>
      <c r="U74" s="15">
        <f t="shared" si="19"/>
        <v>0</v>
      </c>
      <c r="W74" s="39">
        <f t="shared" si="20"/>
        <v>1257560</v>
      </c>
      <c r="Y74" s="5"/>
      <c r="AB74" s="39">
        <v>1257560</v>
      </c>
      <c r="AC74" s="710">
        <f t="shared" si="17"/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</row>
    <row r="75" spans="1:35" ht="18" customHeight="1">
      <c r="A75" s="5"/>
      <c r="D75" s="14">
        <v>121800</v>
      </c>
      <c r="E75" s="6" t="s">
        <v>1707</v>
      </c>
      <c r="F75" s="37">
        <v>2321</v>
      </c>
      <c r="G75" s="6" t="s">
        <v>1802</v>
      </c>
      <c r="H75" s="5">
        <v>0</v>
      </c>
      <c r="I75" s="211">
        <v>0</v>
      </c>
      <c r="J75" s="211">
        <v>0</v>
      </c>
      <c r="K75" s="15">
        <f t="shared" si="18"/>
        <v>0</v>
      </c>
      <c r="M75" s="676">
        <f>SUMIF('1.0'!$D:$D,T_BS!D75,'1.0'!$N:$N)</f>
        <v>0</v>
      </c>
      <c r="N75" s="211">
        <f>SUMIF('2.0'!$D:$D,T_BS!D75,'2.0'!$N:$N)</f>
        <v>0</v>
      </c>
      <c r="O75" s="7">
        <f>ROUND(SUMIF('3.0'!$D:$D,T_BS!D75,'3.0'!$H:$H),0)</f>
        <v>0</v>
      </c>
      <c r="P75" s="210">
        <f>ROUND(SUMIF('4.0'!$D:$D,T_BS!D75,'4.0'!$N:$N),0)</f>
        <v>0</v>
      </c>
      <c r="Q75" s="7">
        <f>ROUND(SUMIF('5.0'!$D:$D,T_BS!D75,'5.0'!$N:$N),0)</f>
        <v>0</v>
      </c>
      <c r="R75" s="210">
        <f>ROUND(SUMIF('6.0'!$D:$D,T_BS!D75,'6.0'!$N:$N),0)</f>
        <v>0</v>
      </c>
      <c r="S75" s="210">
        <f>ROUND(SUMIF('7.0'!$D:$D,T_BS!D75,'7.0'!$I:$I),0)</f>
        <v>0</v>
      </c>
      <c r="T75" s="210">
        <f>ROUND(SUMIF('8.0'!$D:$D,T_BS!D75,'8.0'!$H:$H),0)</f>
        <v>0</v>
      </c>
      <c r="U75" s="15">
        <f t="shared" si="19"/>
        <v>0</v>
      </c>
      <c r="W75" s="39">
        <f t="shared" si="20"/>
        <v>0</v>
      </c>
      <c r="Y75" s="5"/>
      <c r="AB75" s="39">
        <v>0</v>
      </c>
      <c r="AC75" s="710">
        <f t="shared" si="17"/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</row>
    <row r="76" spans="1:35" ht="18" customHeight="1">
      <c r="A76" s="5"/>
      <c r="D76" s="14">
        <v>121805</v>
      </c>
      <c r="E76" s="6" t="s">
        <v>1707</v>
      </c>
      <c r="F76" s="37">
        <v>2322</v>
      </c>
      <c r="G76" s="6" t="s">
        <v>1803</v>
      </c>
      <c r="H76" s="5">
        <v>0</v>
      </c>
      <c r="I76" s="211">
        <v>0</v>
      </c>
      <c r="J76" s="211">
        <v>0</v>
      </c>
      <c r="K76" s="15">
        <f t="shared" si="18"/>
        <v>0</v>
      </c>
      <c r="M76" s="676">
        <f>SUMIF('1.0'!$D:$D,T_BS!D76,'1.0'!$N:$N)</f>
        <v>0</v>
      </c>
      <c r="N76" s="211">
        <f>SUMIF('2.0'!$D:$D,T_BS!D76,'2.0'!$N:$N)</f>
        <v>0</v>
      </c>
      <c r="O76" s="7">
        <f>ROUND(SUMIF('3.0'!$D:$D,T_BS!D76,'3.0'!$H:$H),0)</f>
        <v>0</v>
      </c>
      <c r="P76" s="210">
        <f>ROUND(SUMIF('4.0'!$D:$D,T_BS!D76,'4.0'!$N:$N),0)</f>
        <v>0</v>
      </c>
      <c r="Q76" s="7">
        <f>ROUND(SUMIF('5.0'!$D:$D,T_BS!D76,'5.0'!$N:$N),0)</f>
        <v>0</v>
      </c>
      <c r="R76" s="210">
        <f>ROUND(SUMIF('6.0'!$D:$D,T_BS!D76,'6.0'!$N:$N),0)</f>
        <v>0</v>
      </c>
      <c r="S76" s="210">
        <f>ROUND(SUMIF('7.0'!$D:$D,T_BS!D76,'7.0'!$I:$I),0)</f>
        <v>0</v>
      </c>
      <c r="T76" s="210">
        <f>ROUND(SUMIF('8.0'!$D:$D,T_BS!D76,'8.0'!$H:$H),0)</f>
        <v>0</v>
      </c>
      <c r="U76" s="15">
        <f t="shared" si="19"/>
        <v>0</v>
      </c>
      <c r="W76" s="39">
        <f t="shared" si="20"/>
        <v>0</v>
      </c>
      <c r="Y76" s="5"/>
      <c r="AB76" s="39">
        <v>0</v>
      </c>
      <c r="AC76" s="710">
        <f t="shared" si="17"/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</row>
    <row r="77" spans="1:35" ht="18" customHeight="1">
      <c r="A77" s="5"/>
      <c r="D77" s="14" t="s">
        <v>1893</v>
      </c>
      <c r="E77" s="6" t="s">
        <v>1707</v>
      </c>
      <c r="F77" s="37">
        <v>2650</v>
      </c>
      <c r="G77" s="6" t="s">
        <v>1894</v>
      </c>
      <c r="H77" s="5">
        <v>0</v>
      </c>
      <c r="I77" s="211">
        <v>0</v>
      </c>
      <c r="J77" s="211">
        <v>0</v>
      </c>
      <c r="K77" s="15">
        <f t="shared" si="18"/>
        <v>0</v>
      </c>
      <c r="M77" s="676">
        <f>SUMIF('1.0'!$D:$D,T_BS!D77,'1.0'!$N:$N)</f>
        <v>0</v>
      </c>
      <c r="N77" s="211">
        <f>SUMIF('2.0'!$D:$D,T_BS!D77,'2.0'!$N:$N)</f>
        <v>0</v>
      </c>
      <c r="O77" s="7">
        <f>ROUND(SUMIF('3.0'!$D:$D,T_BS!D77,'3.0'!$H:$H),0)</f>
        <v>0</v>
      </c>
      <c r="P77" s="210">
        <f>ROUND(SUMIF('4.0'!$D:$D,T_BS!D77,'4.0'!$N:$N),0)</f>
        <v>0</v>
      </c>
      <c r="Q77" s="7">
        <f>ROUND(SUMIF('5.0'!$D:$D,T_BS!D77,'5.0'!$N:$N),0)</f>
        <v>0</v>
      </c>
      <c r="R77" s="210">
        <f>ROUND(SUMIF('6.0'!$D:$D,T_BS!D77,'6.0'!$N:$N),0)</f>
        <v>0</v>
      </c>
      <c r="S77" s="210">
        <f>ROUND(SUMIF('7.0'!$D:$D,T_BS!D77,'7.0'!$I:$I),0)</f>
        <v>0</v>
      </c>
      <c r="T77" s="210">
        <f>ROUND(SUMIF('8.0'!$D:$D,T_BS!D77,'8.0'!$H:$H),0)</f>
        <v>0</v>
      </c>
      <c r="U77" s="15">
        <f t="shared" si="19"/>
        <v>0</v>
      </c>
      <c r="W77" s="39">
        <f t="shared" si="20"/>
        <v>0</v>
      </c>
      <c r="Y77" s="5"/>
      <c r="AB77" s="39">
        <v>0</v>
      </c>
      <c r="AC77" s="710">
        <f t="shared" si="17"/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</row>
    <row r="78" spans="1:35" ht="18" customHeight="1">
      <c r="A78" s="5"/>
      <c r="D78" s="14">
        <v>121602</v>
      </c>
      <c r="E78" s="6" t="s">
        <v>1707</v>
      </c>
      <c r="F78" s="37">
        <v>2311</v>
      </c>
      <c r="G78" s="6" t="s">
        <v>1804</v>
      </c>
      <c r="H78" s="5">
        <v>0</v>
      </c>
      <c r="I78" s="211">
        <v>0</v>
      </c>
      <c r="J78" s="211">
        <v>0</v>
      </c>
      <c r="K78" s="15">
        <f t="shared" si="18"/>
        <v>0</v>
      </c>
      <c r="M78" s="676">
        <f>SUMIF('1.0'!$D:$D,T_BS!D78,'1.0'!$N:$N)</f>
        <v>0</v>
      </c>
      <c r="N78" s="211">
        <f>SUMIF('2.0'!$D:$D,T_BS!D78,'2.0'!$N:$N)</f>
        <v>0</v>
      </c>
      <c r="O78" s="7">
        <f>ROUND(SUMIF('3.0'!$D:$D,T_BS!D78,'3.0'!$H:$H),0)</f>
        <v>0</v>
      </c>
      <c r="P78" s="210">
        <f>ROUND(SUMIF('4.0'!$D:$D,T_BS!D78,'4.0'!$N:$N),0)</f>
        <v>0</v>
      </c>
      <c r="Q78" s="7">
        <f>ROUND(SUMIF('5.0'!$D:$D,T_BS!D78,'5.0'!$N:$N),0)</f>
        <v>0</v>
      </c>
      <c r="R78" s="210">
        <f>ROUND(SUMIF('6.0'!$D:$D,T_BS!D78,'6.0'!$N:$N),0)</f>
        <v>0</v>
      </c>
      <c r="S78" s="210">
        <f>ROUND(SUMIF('7.0'!$D:$D,T_BS!D78,'7.0'!$I:$I),0)</f>
        <v>0</v>
      </c>
      <c r="T78" s="210">
        <f>ROUND(SUMIF('8.0'!$D:$D,T_BS!D78,'8.0'!$H:$H),0)</f>
        <v>0</v>
      </c>
      <c r="U78" s="15">
        <f t="shared" si="19"/>
        <v>0</v>
      </c>
      <c r="W78" s="39">
        <f t="shared" si="20"/>
        <v>0</v>
      </c>
      <c r="Y78" s="5"/>
      <c r="AB78" s="39">
        <v>0</v>
      </c>
      <c r="AC78" s="710">
        <f t="shared" si="17"/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</row>
    <row r="79" spans="1:35" ht="18" customHeight="1">
      <c r="A79" s="5"/>
      <c r="D79" s="14">
        <v>121532</v>
      </c>
      <c r="E79" s="6" t="s">
        <v>1707</v>
      </c>
      <c r="F79" s="37" t="s">
        <v>2007</v>
      </c>
      <c r="G79" s="6" t="s">
        <v>74</v>
      </c>
      <c r="H79" s="5">
        <v>-159435455</v>
      </c>
      <c r="I79" s="211">
        <v>0</v>
      </c>
      <c r="J79" s="211">
        <v>0</v>
      </c>
      <c r="K79" s="15">
        <f t="shared" si="18"/>
        <v>-159435455</v>
      </c>
      <c r="M79" s="676">
        <f>SUMIF('1.0'!$D:$D,T_BS!D79,'1.0'!$N:$N)</f>
        <v>0</v>
      </c>
      <c r="N79" s="211">
        <f>SUMIF('2.0'!$D:$D,T_BS!D79,'2.0'!$N:$N)</f>
        <v>0</v>
      </c>
      <c r="O79" s="7">
        <f>ROUND(SUMIF('3.0'!$D:$D,T_BS!D79,'3.0'!$H:$H),0)</f>
        <v>0</v>
      </c>
      <c r="P79" s="210">
        <f>ROUND(SUMIF('4.0'!$D:$D,T_BS!D79,'4.0'!$N:$N),0)</f>
        <v>0</v>
      </c>
      <c r="Q79" s="7">
        <f>ROUND(SUMIF('5.0'!$D:$D,T_BS!D79,'5.0'!$N:$N),0)</f>
        <v>0</v>
      </c>
      <c r="R79" s="210">
        <f>ROUND(SUMIF('6.0'!$D:$D,T_BS!D79,'6.0'!$N:$N),0)</f>
        <v>0</v>
      </c>
      <c r="S79" s="210">
        <f>ROUND(SUMIF('7.0'!$D:$D,T_BS!D79,'7.0'!$I:$I),0)</f>
        <v>0</v>
      </c>
      <c r="T79" s="210">
        <f>ROUND(SUMIF('8.0'!$D:$D,T_BS!D79,'8.0'!$H:$H),0)</f>
        <v>0</v>
      </c>
      <c r="U79" s="15">
        <f t="shared" si="19"/>
        <v>0</v>
      </c>
      <c r="W79" s="39">
        <f t="shared" si="20"/>
        <v>-159435455</v>
      </c>
      <c r="Y79" s="5"/>
      <c r="AB79" s="39">
        <v>-108351818</v>
      </c>
      <c r="AC79" s="710">
        <f t="shared" si="17"/>
        <v>-51083637</v>
      </c>
      <c r="AE79" s="5">
        <v>-51083637</v>
      </c>
      <c r="AF79" s="5">
        <v>0</v>
      </c>
      <c r="AG79" s="5">
        <v>0</v>
      </c>
      <c r="AH79" s="5">
        <v>0</v>
      </c>
      <c r="AI79" s="5">
        <v>-51083637</v>
      </c>
    </row>
    <row r="80" spans="1:35" ht="18" customHeight="1">
      <c r="A80" s="5"/>
      <c r="D80" s="14">
        <v>121531</v>
      </c>
      <c r="E80" s="6" t="s">
        <v>1707</v>
      </c>
      <c r="F80" s="40" t="s">
        <v>2006</v>
      </c>
      <c r="G80" s="6" t="s">
        <v>75</v>
      </c>
      <c r="H80" s="5">
        <v>1699086000</v>
      </c>
      <c r="I80" s="211">
        <v>0</v>
      </c>
      <c r="J80" s="211">
        <v>0</v>
      </c>
      <c r="K80" s="15">
        <f t="shared" si="18"/>
        <v>1699086000</v>
      </c>
      <c r="M80" s="676">
        <f>SUMIF('1.0'!$D:$D,T_BS!D80,'1.0'!$N:$N)</f>
        <v>0</v>
      </c>
      <c r="N80" s="211">
        <f>SUMIF('2.0'!$D:$D,T_BS!D80,'2.0'!$N:$N)</f>
        <v>0</v>
      </c>
      <c r="O80" s="7">
        <f>ROUND(SUMIF('3.0'!$D:$D,T_BS!D80,'3.0'!$H:$H),0)</f>
        <v>0</v>
      </c>
      <c r="P80" s="210">
        <f>ROUND(SUMIF('4.0'!$D:$D,T_BS!D80,'4.0'!$N:$N),0)</f>
        <v>0</v>
      </c>
      <c r="Q80" s="7">
        <f>ROUND(SUMIF('5.0'!$D:$D,T_BS!D80,'5.0'!$N:$N),0)</f>
        <v>0</v>
      </c>
      <c r="R80" s="210">
        <f>ROUND(SUMIF('6.0'!$D:$D,T_BS!D80,'6.0'!$N:$N),0)</f>
        <v>0</v>
      </c>
      <c r="S80" s="210">
        <f>ROUND(SUMIF('7.0'!$D:$D,T_BS!D80,'7.0'!$I:$I),0)</f>
        <v>0</v>
      </c>
      <c r="T80" s="210">
        <f>ROUND(SUMIF('8.0'!$D:$D,T_BS!D80,'8.0'!$H:$H),0)</f>
        <v>0</v>
      </c>
      <c r="U80" s="15">
        <f t="shared" si="19"/>
        <v>0</v>
      </c>
      <c r="W80" s="39">
        <f t="shared" si="20"/>
        <v>1699086000</v>
      </c>
      <c r="Y80" s="5"/>
      <c r="AB80" s="39">
        <v>1699086000</v>
      </c>
      <c r="AC80" s="710">
        <f t="shared" si="17"/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</row>
    <row r="81" spans="1:35" ht="18" customHeight="1">
      <c r="A81" s="5"/>
      <c r="D81" s="13"/>
      <c r="E81" s="34"/>
      <c r="F81" s="35"/>
      <c r="G81" s="34" t="s">
        <v>76</v>
      </c>
      <c r="H81" s="484">
        <f>SUM(H82:H85)</f>
        <v>0</v>
      </c>
      <c r="I81" s="417">
        <f>SUM(I82:I85)</f>
        <v>0</v>
      </c>
      <c r="J81" s="417">
        <f>SUM(J82:J85)</f>
        <v>0</v>
      </c>
      <c r="K81" s="645">
        <f>SUM(K82:K85)</f>
        <v>0</v>
      </c>
      <c r="M81" s="675">
        <f t="shared" ref="M81:R81" si="21">SUM(M82:M85)</f>
        <v>0</v>
      </c>
      <c r="N81" s="417">
        <f t="shared" si="21"/>
        <v>0</v>
      </c>
      <c r="O81" s="417">
        <f t="shared" si="21"/>
        <v>0</v>
      </c>
      <c r="P81" s="417">
        <f t="shared" si="21"/>
        <v>0</v>
      </c>
      <c r="Q81" s="417">
        <f t="shared" si="21"/>
        <v>0</v>
      </c>
      <c r="R81" s="417">
        <f t="shared" si="21"/>
        <v>0</v>
      </c>
      <c r="S81" s="417">
        <f>SUM(S82:S85)</f>
        <v>0</v>
      </c>
      <c r="T81" s="417">
        <f>SUM(T82:T85)</f>
        <v>0</v>
      </c>
      <c r="U81" s="645">
        <f>SUM(U82:U85)</f>
        <v>0</v>
      </c>
      <c r="W81" s="36">
        <f>SUM(W82:W85)</f>
        <v>0</v>
      </c>
      <c r="Y81" s="5"/>
      <c r="AB81" s="36">
        <v>0</v>
      </c>
      <c r="AC81" s="710">
        <f t="shared" si="17"/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</row>
    <row r="82" spans="1:35" ht="18" customHeight="1">
      <c r="A82" s="5"/>
      <c r="D82" s="14">
        <v>121410</v>
      </c>
      <c r="E82" s="6" t="s">
        <v>76</v>
      </c>
      <c r="F82" s="37">
        <v>2603</v>
      </c>
      <c r="G82" s="6" t="s">
        <v>1795</v>
      </c>
      <c r="H82" s="5">
        <v>0</v>
      </c>
      <c r="I82" s="211">
        <v>0</v>
      </c>
      <c r="J82" s="211">
        <v>0</v>
      </c>
      <c r="K82" s="15">
        <f>SUM(H82:J82)</f>
        <v>0</v>
      </c>
      <c r="M82" s="676">
        <f>SUMIF('1.0'!$D:$D,T_BS!D82,'1.0'!$N:$N)</f>
        <v>0</v>
      </c>
      <c r="N82" s="211">
        <f>SUMIF('2.0'!$D:$D,T_BS!D82,'2.0'!$N:$N)</f>
        <v>0</v>
      </c>
      <c r="O82" s="7">
        <f>ROUND(SUMIF('3.0'!$D:$D,T_BS!D82,'3.0'!$H:$H),0)</f>
        <v>0</v>
      </c>
      <c r="P82" s="210">
        <f>ROUND(SUMIF('4.0'!$D:$D,T_BS!D82,'4.0'!$N:$N),0)</f>
        <v>0</v>
      </c>
      <c r="Q82" s="7">
        <f>ROUND(SUMIF('5.0'!$D:$D,T_BS!D82,'5.0'!$N:$N),0)</f>
        <v>0</v>
      </c>
      <c r="R82" s="210">
        <f>ROUND(SUMIF('6.0'!$D:$D,T_BS!D82,'6.0'!$N:$N),0)</f>
        <v>0</v>
      </c>
      <c r="S82" s="210">
        <f>ROUND(SUMIF('7.0'!$D:$D,T_BS!D82,'7.0'!$I:$I),0)</f>
        <v>0</v>
      </c>
      <c r="T82" s="210">
        <f>ROUND(SUMIF('8.0'!$D:$D,T_BS!D82,'8.0'!$H:$H),0)</f>
        <v>0</v>
      </c>
      <c r="U82" s="15">
        <f>SUM(M82:T82)</f>
        <v>0</v>
      </c>
      <c r="W82" s="39">
        <f t="shared" ref="W82:W89" si="22">U82+K82</f>
        <v>0</v>
      </c>
      <c r="Y82" s="5"/>
      <c r="AB82" s="39">
        <v>0</v>
      </c>
      <c r="AC82" s="710">
        <f t="shared" si="17"/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</row>
    <row r="83" spans="1:35" ht="18" customHeight="1">
      <c r="A83" s="5"/>
      <c r="D83" s="43" t="s">
        <v>221</v>
      </c>
      <c r="E83" s="6" t="s">
        <v>76</v>
      </c>
      <c r="F83" s="40" t="s">
        <v>612</v>
      </c>
      <c r="G83" s="6" t="s">
        <v>78</v>
      </c>
      <c r="H83" s="5">
        <v>0</v>
      </c>
      <c r="I83" s="211">
        <v>0</v>
      </c>
      <c r="J83" s="211">
        <v>0</v>
      </c>
      <c r="K83" s="15">
        <f>SUM(H83:J83)</f>
        <v>0</v>
      </c>
      <c r="M83" s="676">
        <f>SUMIF('1.0'!$D:$D,T_BS!D83,'1.0'!$N:$N)</f>
        <v>0</v>
      </c>
      <c r="N83" s="211">
        <f>SUMIF('2.0'!$D:$D,T_BS!D83,'2.0'!$N:$N)</f>
        <v>0</v>
      </c>
      <c r="O83" s="7">
        <f>ROUND(SUMIF('3.0'!$D:$D,T_BS!D83,'3.0'!$H:$H),0)</f>
        <v>0</v>
      </c>
      <c r="P83" s="210">
        <f>ROUND(SUMIF('4.0'!$D:$D,T_BS!D83,'4.0'!$N:$N),0)</f>
        <v>0</v>
      </c>
      <c r="Q83" s="7">
        <f>ROUND(SUMIF('5.0'!$D:$D,T_BS!D83,'5.0'!$N:$N),0)</f>
        <v>0</v>
      </c>
      <c r="R83" s="210">
        <f>ROUND(SUMIF('6.0'!$D:$D,T_BS!D83,'6.0'!$N:$N),0)</f>
        <v>0</v>
      </c>
      <c r="S83" s="210">
        <f>ROUND(SUMIF('7.0'!$D:$D,T_BS!D83,'7.0'!$I:$I),0)</f>
        <v>0</v>
      </c>
      <c r="T83" s="210">
        <f>ROUND(SUMIF('8.0'!$D:$D,T_BS!D83,'8.0'!$H:$H),0)</f>
        <v>0</v>
      </c>
      <c r="U83" s="15">
        <f>SUM(M83:T83)</f>
        <v>0</v>
      </c>
      <c r="W83" s="39">
        <f t="shared" si="22"/>
        <v>0</v>
      </c>
      <c r="Y83" s="5"/>
      <c r="AB83" s="39">
        <v>0</v>
      </c>
      <c r="AC83" s="710">
        <f t="shared" si="17"/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</row>
    <row r="84" spans="1:35" ht="18" customHeight="1">
      <c r="A84" s="5"/>
      <c r="D84" s="43" t="s">
        <v>222</v>
      </c>
      <c r="E84" s="6" t="s">
        <v>76</v>
      </c>
      <c r="F84" s="40" t="s">
        <v>612</v>
      </c>
      <c r="G84" s="6" t="s">
        <v>79</v>
      </c>
      <c r="H84" s="5">
        <v>0</v>
      </c>
      <c r="I84" s="211">
        <v>0</v>
      </c>
      <c r="J84" s="211">
        <v>0</v>
      </c>
      <c r="K84" s="15">
        <f>SUM(H84:J84)</f>
        <v>0</v>
      </c>
      <c r="M84" s="676">
        <f>SUMIF('1.0'!$D:$D,T_BS!D84,'1.0'!$N:$N)</f>
        <v>0</v>
      </c>
      <c r="N84" s="211">
        <f>SUMIF('2.0'!$D:$D,T_BS!D84,'2.0'!$N:$N)</f>
        <v>0</v>
      </c>
      <c r="O84" s="7">
        <f>ROUND(SUMIF('3.0'!$D:$D,T_BS!D84,'3.0'!$H:$H),0)</f>
        <v>0</v>
      </c>
      <c r="P84" s="210">
        <f>ROUND(SUMIF('4.0'!$D:$D,T_BS!D84,'4.0'!$N:$N),0)</f>
        <v>0</v>
      </c>
      <c r="Q84" s="7">
        <f>ROUND(SUMIF('5.0'!$D:$D,T_BS!D84,'5.0'!$N:$N),0)</f>
        <v>0</v>
      </c>
      <c r="R84" s="210">
        <f>ROUND(SUMIF('6.0'!$D:$D,T_BS!D84,'6.0'!$N:$N),0)</f>
        <v>0</v>
      </c>
      <c r="S84" s="210">
        <f>ROUND(SUMIF('7.0'!$D:$D,T_BS!D84,'7.0'!$I:$I),0)</f>
        <v>0</v>
      </c>
      <c r="T84" s="210">
        <f>ROUND(SUMIF('8.0'!$D:$D,T_BS!D84,'8.0'!$H:$H),0)</f>
        <v>0</v>
      </c>
      <c r="U84" s="15">
        <f>SUM(M84:T84)</f>
        <v>0</v>
      </c>
      <c r="W84" s="39">
        <f t="shared" si="22"/>
        <v>0</v>
      </c>
      <c r="Y84" s="5"/>
      <c r="AB84" s="39">
        <v>0</v>
      </c>
      <c r="AC84" s="710">
        <f t="shared" si="17"/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</row>
    <row r="85" spans="1:35" ht="18" customHeight="1">
      <c r="A85" s="5"/>
      <c r="D85" s="43" t="s">
        <v>223</v>
      </c>
      <c r="E85" s="6" t="s">
        <v>76</v>
      </c>
      <c r="F85" s="40" t="s">
        <v>612</v>
      </c>
      <c r="G85" s="6" t="s">
        <v>42</v>
      </c>
      <c r="H85" s="5">
        <v>0</v>
      </c>
      <c r="I85" s="211">
        <v>0</v>
      </c>
      <c r="J85" s="211">
        <v>0</v>
      </c>
      <c r="K85" s="15">
        <f>SUM(H85:J85)</f>
        <v>0</v>
      </c>
      <c r="M85" s="676">
        <f>SUMIF('1.0'!$D:$D,T_BS!D85,'1.0'!$N:$N)</f>
        <v>0</v>
      </c>
      <c r="N85" s="211">
        <f>SUMIF('2.0'!$D:$D,T_BS!D85,'2.0'!$N:$N)</f>
        <v>0</v>
      </c>
      <c r="O85" s="7">
        <f>ROUND(SUMIF('3.0'!$D:$D,T_BS!D85,'3.0'!$H:$H),0)</f>
        <v>0</v>
      </c>
      <c r="P85" s="210">
        <f>ROUND(SUMIF('4.0'!$D:$D,T_BS!D85,'4.0'!$N:$N),0)</f>
        <v>0</v>
      </c>
      <c r="Q85" s="7">
        <f>ROUND(SUMIF('5.0'!$D:$D,T_BS!D85,'5.0'!$N:$N),0)</f>
        <v>0</v>
      </c>
      <c r="R85" s="210">
        <f>ROUND(SUMIF('6.0'!$D:$D,T_BS!D85,'6.0'!$N:$N),0)</f>
        <v>0</v>
      </c>
      <c r="S85" s="210">
        <f>ROUND(SUMIF('7.0'!$D:$D,T_BS!D85,'7.0'!$I:$I),0)</f>
        <v>0</v>
      </c>
      <c r="T85" s="210">
        <f>ROUND(SUMIF('8.0'!$D:$D,T_BS!D85,'8.0'!$H:$H),0)</f>
        <v>0</v>
      </c>
      <c r="U85" s="15">
        <f>SUM(M85:T85)</f>
        <v>0</v>
      </c>
      <c r="W85" s="39">
        <f t="shared" si="22"/>
        <v>0</v>
      </c>
      <c r="Y85" s="5"/>
      <c r="AB85" s="39">
        <v>0</v>
      </c>
      <c r="AC85" s="710">
        <f t="shared" si="17"/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</row>
    <row r="86" spans="1:35" ht="18" customHeight="1">
      <c r="A86" s="5"/>
      <c r="D86" s="13"/>
      <c r="E86" s="34"/>
      <c r="F86" s="35"/>
      <c r="G86" s="34" t="s">
        <v>80</v>
      </c>
      <c r="H86" s="484">
        <f>SUM(H87:H89)</f>
        <v>5928999995</v>
      </c>
      <c r="I86" s="417">
        <f>SUM(I87:I89)</f>
        <v>0</v>
      </c>
      <c r="J86" s="417">
        <f>SUM(J87:J89)</f>
        <v>0</v>
      </c>
      <c r="K86" s="645">
        <f>SUM(K87:K89)</f>
        <v>5928999995</v>
      </c>
      <c r="M86" s="675">
        <f t="shared" ref="M86:U86" si="23">SUM(M87:M89)</f>
        <v>0</v>
      </c>
      <c r="N86" s="417">
        <f t="shared" si="23"/>
        <v>0</v>
      </c>
      <c r="O86" s="417">
        <f t="shared" si="23"/>
        <v>0</v>
      </c>
      <c r="P86" s="417">
        <f t="shared" si="23"/>
        <v>0</v>
      </c>
      <c r="Q86" s="417">
        <f t="shared" si="23"/>
        <v>0</v>
      </c>
      <c r="R86" s="417">
        <f t="shared" si="23"/>
        <v>0</v>
      </c>
      <c r="S86" s="417">
        <f t="shared" si="23"/>
        <v>0</v>
      </c>
      <c r="T86" s="417">
        <f t="shared" si="23"/>
        <v>-5928999995</v>
      </c>
      <c r="U86" s="645">
        <f t="shared" si="23"/>
        <v>-5928999995</v>
      </c>
      <c r="W86" s="36">
        <f>SUM(W87:W89)</f>
        <v>0</v>
      </c>
      <c r="Y86" s="5"/>
      <c r="AB86" s="36">
        <v>0</v>
      </c>
      <c r="AC86" s="710">
        <f t="shared" si="17"/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</row>
    <row r="87" spans="1:35" ht="18" customHeight="1">
      <c r="A87" s="5"/>
      <c r="D87" s="14">
        <v>900019</v>
      </c>
      <c r="E87" s="6" t="s">
        <v>81</v>
      </c>
      <c r="F87" s="40" t="s">
        <v>612</v>
      </c>
      <c r="G87" s="6" t="s">
        <v>81</v>
      </c>
      <c r="H87" s="5">
        <v>72397946695</v>
      </c>
      <c r="I87" s="211">
        <v>0</v>
      </c>
      <c r="J87" s="211">
        <v>0</v>
      </c>
      <c r="K87" s="15">
        <f>SUM(H87:J87)</f>
        <v>72397946695</v>
      </c>
      <c r="M87" s="676">
        <f>SUMIF('1.0'!$D:$D,T_BS!D87,'1.0'!$N:$N)</f>
        <v>0</v>
      </c>
      <c r="N87" s="211">
        <f>SUMIF('2.0'!$D:$D,T_BS!D87,'2.0'!$N:$N)</f>
        <v>0</v>
      </c>
      <c r="O87" s="7">
        <f>ROUND(SUMIF('3.0'!$D:$D,T_BS!D87,'3.0'!$H:$H),0)</f>
        <v>0</v>
      </c>
      <c r="P87" s="210">
        <f>ROUND(SUMIF('4.0'!$D:$D,T_BS!D87,'4.0'!$N:$N),0)</f>
        <v>0</v>
      </c>
      <c r="Q87" s="7">
        <f>ROUND(SUMIF('5.0'!$D:$D,T_BS!D87,'5.0'!$N:$N),0)</f>
        <v>0</v>
      </c>
      <c r="R87" s="210">
        <f>ROUND(SUMIF('6.0'!$D:$D,T_BS!D87,'6.0'!$N:$N),0)</f>
        <v>0</v>
      </c>
      <c r="S87" s="210">
        <f>ROUND(SUMIF('7.0'!$D:$D,T_BS!D87,'7.0'!$I:$I),0)</f>
        <v>0</v>
      </c>
      <c r="T87" s="210">
        <f>ROUND(SUMIF('8.0'!$D:$D,T_BS!D87,'8.0'!$H:$H),0)</f>
        <v>-72397946695</v>
      </c>
      <c r="U87" s="15">
        <f>SUM(M87:T87)</f>
        <v>-72397946695</v>
      </c>
      <c r="W87" s="39">
        <f t="shared" si="22"/>
        <v>0</v>
      </c>
      <c r="Y87" s="5"/>
      <c r="AB87" s="39">
        <v>0</v>
      </c>
      <c r="AC87" s="710">
        <f t="shared" si="17"/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</row>
    <row r="88" spans="1:35" ht="18" customHeight="1">
      <c r="A88" s="5"/>
      <c r="D88" s="14" t="s">
        <v>1952</v>
      </c>
      <c r="E88" s="6" t="s">
        <v>1953</v>
      </c>
      <c r="F88" s="40" t="s">
        <v>612</v>
      </c>
      <c r="G88" s="6" t="s">
        <v>1954</v>
      </c>
      <c r="H88" s="5">
        <v>-66468946700</v>
      </c>
      <c r="I88" s="211">
        <v>0</v>
      </c>
      <c r="J88" s="211">
        <v>0</v>
      </c>
      <c r="K88" s="15">
        <f>SUM(H88:J88)</f>
        <v>-66468946700</v>
      </c>
      <c r="M88" s="676">
        <f>SUMIF('1.0'!$D:$D,T_BS!D88,'1.0'!$N:$N)</f>
        <v>0</v>
      </c>
      <c r="N88" s="211">
        <f>SUMIF('2.0'!$D:$D,T_BS!D88,'2.0'!$N:$N)</f>
        <v>0</v>
      </c>
      <c r="O88" s="7">
        <f>ROUND(SUMIF('3.0'!$D:$D,T_BS!D88,'3.0'!$H:$H),0)</f>
        <v>0</v>
      </c>
      <c r="P88" s="211">
        <f>ROUND(SUMIF('4.0'!$D:$D,T_BS!D88,'4.0'!$N:$N),0)</f>
        <v>0</v>
      </c>
      <c r="Q88" s="7">
        <f>ROUND(SUMIF('5.0'!$D:$D,T_BS!D88,'5.0'!$N:$N),0)</f>
        <v>0</v>
      </c>
      <c r="R88" s="211">
        <f>ROUND(SUMIF('6.0'!$D:$D,T_BS!D88,'6.0'!$N:$N),0)</f>
        <v>0</v>
      </c>
      <c r="S88" s="211">
        <f>ROUND(SUMIF('7.0'!$D:$D,T_BS!D88,'7.0'!$I:$I),0)</f>
        <v>0</v>
      </c>
      <c r="T88" s="211">
        <f>ROUND(SUMIF('8.0'!$D:$D,T_BS!D88,'8.0'!$H:$H),0)</f>
        <v>66468946700</v>
      </c>
      <c r="U88" s="15">
        <f>SUM(M88:T88)</f>
        <v>66468946700</v>
      </c>
      <c r="W88" s="39">
        <f>U88+K88</f>
        <v>0</v>
      </c>
      <c r="Y88" s="5"/>
      <c r="AB88" s="39">
        <v>0</v>
      </c>
      <c r="AC88" s="710">
        <f t="shared" si="17"/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</row>
    <row r="89" spans="1:35" ht="18" customHeight="1">
      <c r="A89" s="5"/>
      <c r="D89" s="14" t="s">
        <v>82</v>
      </c>
      <c r="E89" s="6" t="s">
        <v>83</v>
      </c>
      <c r="F89" s="40" t="s">
        <v>612</v>
      </c>
      <c r="G89" s="6" t="s">
        <v>83</v>
      </c>
      <c r="H89" s="5">
        <v>0</v>
      </c>
      <c r="I89" s="211">
        <v>0</v>
      </c>
      <c r="J89" s="211">
        <v>0</v>
      </c>
      <c r="K89" s="15">
        <f>SUM(H89:J89)</f>
        <v>0</v>
      </c>
      <c r="M89" s="676">
        <f>SUMIF('1.0'!$D:$D,T_BS!D89,'1.0'!$N:$N)</f>
        <v>0</v>
      </c>
      <c r="N89" s="211">
        <f>SUMIF('2.0'!$D:$D,T_BS!D89,'2.0'!$N:$N)</f>
        <v>0</v>
      </c>
      <c r="O89" s="7">
        <f>ROUND(SUMIF('3.0'!$D:$D,T_BS!D89,'3.0'!$H:$H),0)</f>
        <v>0</v>
      </c>
      <c r="P89" s="211">
        <f>ROUND(SUMIF('4.0'!$D:$D,T_BS!D89,'4.0'!$N:$N),0)</f>
        <v>0</v>
      </c>
      <c r="Q89" s="7">
        <f>ROUND(SUMIF('5.0'!$D:$D,T_BS!D89,'5.0'!$N:$N),0)</f>
        <v>0</v>
      </c>
      <c r="R89" s="211">
        <f>ROUND(SUMIF('6.0'!$D:$D,T_BS!D89,'6.0'!$N:$N),0)</f>
        <v>0</v>
      </c>
      <c r="S89" s="211">
        <f>ROUND(SUMIF('7.0'!$D:$D,T_BS!D89,'7.0'!$I:$I),0)</f>
        <v>0</v>
      </c>
      <c r="T89" s="211">
        <f>ROUND(SUMIF('8.0'!$D:$D,T_BS!D89,'8.0'!$H:$H),0)</f>
        <v>0</v>
      </c>
      <c r="U89" s="15">
        <f>SUM(M89:T89)</f>
        <v>0</v>
      </c>
      <c r="W89" s="39">
        <f t="shared" si="22"/>
        <v>0</v>
      </c>
      <c r="Y89" s="5"/>
      <c r="AB89" s="39">
        <v>0</v>
      </c>
      <c r="AC89" s="710">
        <f t="shared" si="17"/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</row>
    <row r="90" spans="1:35" ht="18" customHeight="1">
      <c r="A90" s="5"/>
      <c r="D90" s="13"/>
      <c r="E90" s="34"/>
      <c r="F90" s="35"/>
      <c r="G90" s="34" t="s">
        <v>5</v>
      </c>
      <c r="H90" s="484">
        <f>SUM(H91:H114)</f>
        <v>6955815211</v>
      </c>
      <c r="I90" s="417">
        <f>SUM(I91:I114)</f>
        <v>38624984</v>
      </c>
      <c r="J90" s="417">
        <f>SUM(J91:J114)</f>
        <v>660141840</v>
      </c>
      <c r="K90" s="645">
        <f>SUM(K91:K114)</f>
        <v>7654582035</v>
      </c>
      <c r="M90" s="675">
        <f t="shared" ref="M90:U90" si="24">SUM(M91:M114)</f>
        <v>0</v>
      </c>
      <c r="N90" s="417">
        <f t="shared" si="24"/>
        <v>0</v>
      </c>
      <c r="O90" s="417">
        <f t="shared" si="24"/>
        <v>0</v>
      </c>
      <c r="P90" s="417">
        <f t="shared" si="24"/>
        <v>0</v>
      </c>
      <c r="Q90" s="417">
        <f t="shared" si="24"/>
        <v>0</v>
      </c>
      <c r="R90" s="417">
        <f t="shared" si="24"/>
        <v>0</v>
      </c>
      <c r="S90" s="417">
        <f t="shared" si="24"/>
        <v>0</v>
      </c>
      <c r="T90" s="417">
        <f t="shared" si="24"/>
        <v>0</v>
      </c>
      <c r="U90" s="645">
        <f t="shared" si="24"/>
        <v>0</v>
      </c>
      <c r="W90" s="36">
        <f>SUM(W91:W114)</f>
        <v>7654582035</v>
      </c>
      <c r="Y90" s="5"/>
      <c r="AB90" s="36">
        <v>7252280944</v>
      </c>
      <c r="AC90" s="710">
        <f t="shared" si="17"/>
        <v>402301091</v>
      </c>
      <c r="AE90" s="5">
        <v>0</v>
      </c>
      <c r="AF90" s="5">
        <v>0</v>
      </c>
      <c r="AG90" s="5">
        <v>402301091</v>
      </c>
      <c r="AH90" s="5">
        <v>0</v>
      </c>
      <c r="AI90" s="5">
        <v>402301091</v>
      </c>
    </row>
    <row r="91" spans="1:35" ht="18" customHeight="1">
      <c r="A91" s="5"/>
      <c r="D91" s="14">
        <v>123700</v>
      </c>
      <c r="E91" s="6" t="s">
        <v>5</v>
      </c>
      <c r="F91" s="40">
        <v>2401</v>
      </c>
      <c r="G91" s="6" t="s">
        <v>84</v>
      </c>
      <c r="H91" s="5">
        <v>31456249</v>
      </c>
      <c r="I91" s="211">
        <v>0</v>
      </c>
      <c r="J91" s="211">
        <v>0</v>
      </c>
      <c r="K91" s="15">
        <f t="shared" ref="K91:K114" si="25">SUM(H91:J91)</f>
        <v>31456249</v>
      </c>
      <c r="M91" s="676">
        <f>SUMIF('1.0'!$D:$D,T_BS!D91,'1.0'!$N:$N)</f>
        <v>0</v>
      </c>
      <c r="N91" s="211">
        <f>SUMIF('2.0'!$D:$D,T_BS!D91,'2.0'!$N:$N)</f>
        <v>0</v>
      </c>
      <c r="O91" s="7">
        <f>ROUND(SUMIF('3.0'!$D:$D,T_BS!D91,'3.0'!$H:$H),0)</f>
        <v>0</v>
      </c>
      <c r="P91" s="210">
        <f>ROUND(SUMIF('4.0'!$D:$D,T_BS!D91,'4.0'!$N:$N),0)</f>
        <v>0</v>
      </c>
      <c r="Q91" s="7">
        <f>ROUND(SUMIF('5.0'!$D:$D,T_BS!D91,'5.0'!$N:$N),0)</f>
        <v>0</v>
      </c>
      <c r="R91" s="210">
        <f>ROUND(SUMIF('6.0'!$D:$D,T_BS!D91,'6.0'!$N:$N),0)</f>
        <v>0</v>
      </c>
      <c r="S91" s="210">
        <f>ROUND(SUMIF('7.0'!$D:$D,T_BS!D91,'7.0'!$I:$I),0)</f>
        <v>0</v>
      </c>
      <c r="T91" s="210">
        <f>ROUND(SUMIF('8.0'!$D:$D,T_BS!D91,'8.0'!$H:$H),0)</f>
        <v>0</v>
      </c>
      <c r="U91" s="15">
        <f t="shared" ref="U91:U114" si="26">SUM(M91:T91)</f>
        <v>0</v>
      </c>
      <c r="W91" s="39">
        <f t="shared" ref="W91:W142" si="27">U91+K91</f>
        <v>31456249</v>
      </c>
      <c r="Y91" s="5"/>
      <c r="AB91" s="39">
        <v>31456249</v>
      </c>
      <c r="AC91" s="710">
        <f t="shared" si="17"/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</row>
    <row r="92" spans="1:35" ht="18" customHeight="1">
      <c r="A92" s="5"/>
      <c r="D92" s="14">
        <v>123750</v>
      </c>
      <c r="E92" s="6" t="s">
        <v>5</v>
      </c>
      <c r="F92" s="40">
        <v>2402</v>
      </c>
      <c r="G92" s="6" t="s">
        <v>85</v>
      </c>
      <c r="H92" s="5">
        <v>-24297186</v>
      </c>
      <c r="I92" s="211">
        <v>0</v>
      </c>
      <c r="J92" s="211">
        <v>0</v>
      </c>
      <c r="K92" s="15">
        <f t="shared" si="25"/>
        <v>-24297186</v>
      </c>
      <c r="M92" s="676">
        <f>SUMIF('1.0'!$D:$D,T_BS!D92,'1.0'!$N:$N)</f>
        <v>0</v>
      </c>
      <c r="N92" s="211">
        <f>SUMIF('2.0'!$D:$D,T_BS!D92,'2.0'!$N:$N)</f>
        <v>0</v>
      </c>
      <c r="O92" s="7">
        <f>ROUND(SUMIF('3.0'!$D:$D,T_BS!D92,'3.0'!$H:$H),0)</f>
        <v>0</v>
      </c>
      <c r="P92" s="210">
        <f>ROUND(SUMIF('4.0'!$D:$D,T_BS!D92,'4.0'!$N:$N),0)</f>
        <v>0</v>
      </c>
      <c r="Q92" s="7">
        <f>ROUND(SUMIF('5.0'!$D:$D,T_BS!D92,'5.0'!$N:$N),0)</f>
        <v>0</v>
      </c>
      <c r="R92" s="210">
        <f>ROUND(SUMIF('6.0'!$D:$D,T_BS!D92,'6.0'!$N:$N),0)</f>
        <v>0</v>
      </c>
      <c r="S92" s="210">
        <f>ROUND(SUMIF('7.0'!$D:$D,T_BS!D92,'7.0'!$I:$I),0)</f>
        <v>0</v>
      </c>
      <c r="T92" s="210">
        <f>ROUND(SUMIF('8.0'!$D:$D,T_BS!D92,'8.0'!$H:$H),0)</f>
        <v>0</v>
      </c>
      <c r="U92" s="15">
        <f t="shared" si="26"/>
        <v>0</v>
      </c>
      <c r="W92" s="39">
        <f t="shared" si="27"/>
        <v>-24297186</v>
      </c>
      <c r="Y92" s="5"/>
      <c r="AB92" s="39">
        <v>-24297186</v>
      </c>
      <c r="AC92" s="710">
        <f t="shared" si="17"/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</row>
    <row r="93" spans="1:35" ht="18" customHeight="1">
      <c r="A93" s="5"/>
      <c r="D93" s="14">
        <v>123900</v>
      </c>
      <c r="E93" s="6" t="s">
        <v>5</v>
      </c>
      <c r="F93" s="40">
        <v>2404</v>
      </c>
      <c r="G93" s="6" t="s">
        <v>86</v>
      </c>
      <c r="H93" s="5">
        <v>209637249</v>
      </c>
      <c r="I93" s="211">
        <v>0</v>
      </c>
      <c r="J93" s="211">
        <v>0</v>
      </c>
      <c r="K93" s="15">
        <f t="shared" si="25"/>
        <v>209637249</v>
      </c>
      <c r="M93" s="676">
        <f>SUMIF('1.0'!$D:$D,T_BS!D93,'1.0'!$N:$N)</f>
        <v>0</v>
      </c>
      <c r="N93" s="211">
        <f>SUMIF('2.0'!$D:$D,T_BS!D93,'2.0'!$N:$N)</f>
        <v>0</v>
      </c>
      <c r="O93" s="7">
        <f>ROUND(SUMIF('3.0'!$D:$D,T_BS!D93,'3.0'!$H:$H),0)</f>
        <v>0</v>
      </c>
      <c r="P93" s="210">
        <f>ROUND(SUMIF('4.0'!$D:$D,T_BS!D93,'4.0'!$N:$N),0)</f>
        <v>0</v>
      </c>
      <c r="Q93" s="7">
        <f>ROUND(SUMIF('5.0'!$D:$D,T_BS!D93,'5.0'!$N:$N),0)</f>
        <v>0</v>
      </c>
      <c r="R93" s="210">
        <f>ROUND(SUMIF('6.0'!$D:$D,T_BS!D93,'6.0'!$N:$N),0)</f>
        <v>0</v>
      </c>
      <c r="S93" s="210">
        <f>ROUND(SUMIF('7.0'!$D:$D,T_BS!D93,'7.0'!$I:$I),0)</f>
        <v>0</v>
      </c>
      <c r="T93" s="210">
        <f>ROUND(SUMIF('8.0'!$D:$D,T_BS!D93,'8.0'!$H:$H),0)</f>
        <v>0</v>
      </c>
      <c r="U93" s="15">
        <f t="shared" si="26"/>
        <v>0</v>
      </c>
      <c r="W93" s="39">
        <f t="shared" si="27"/>
        <v>209637249</v>
      </c>
      <c r="Y93" s="5"/>
      <c r="AB93" s="39">
        <v>209637249</v>
      </c>
      <c r="AC93" s="710">
        <f t="shared" si="17"/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</row>
    <row r="94" spans="1:35" ht="18" customHeight="1">
      <c r="A94" s="5"/>
      <c r="D94" s="14">
        <v>123950</v>
      </c>
      <c r="E94" s="6" t="s">
        <v>5</v>
      </c>
      <c r="F94" s="40">
        <v>2405</v>
      </c>
      <c r="G94" s="6" t="s">
        <v>87</v>
      </c>
      <c r="H94" s="5">
        <v>-128877898</v>
      </c>
      <c r="I94" s="211">
        <v>0</v>
      </c>
      <c r="J94" s="211">
        <v>0</v>
      </c>
      <c r="K94" s="15">
        <f t="shared" si="25"/>
        <v>-128877898</v>
      </c>
      <c r="M94" s="676">
        <f>SUMIF('1.0'!$D:$D,T_BS!D94,'1.0'!$N:$N)</f>
        <v>0</v>
      </c>
      <c r="N94" s="211">
        <f>SUMIF('2.0'!$D:$D,T_BS!D94,'2.0'!$N:$N)</f>
        <v>0</v>
      </c>
      <c r="O94" s="7">
        <f>ROUND(SUMIF('3.0'!$D:$D,T_BS!D94,'3.0'!$H:$H),0)</f>
        <v>0</v>
      </c>
      <c r="P94" s="210">
        <f>ROUND(SUMIF('4.0'!$D:$D,T_BS!D94,'4.0'!$N:$N),0)</f>
        <v>0</v>
      </c>
      <c r="Q94" s="7">
        <f>ROUND(SUMIF('5.0'!$D:$D,T_BS!D94,'5.0'!$N:$N),0)</f>
        <v>0</v>
      </c>
      <c r="R94" s="210">
        <f>ROUND(SUMIF('6.0'!$D:$D,T_BS!D94,'6.0'!$N:$N),0)</f>
        <v>0</v>
      </c>
      <c r="S94" s="210">
        <f>ROUND(SUMIF('7.0'!$D:$D,T_BS!D94,'7.0'!$I:$I),0)</f>
        <v>0</v>
      </c>
      <c r="T94" s="210">
        <f>ROUND(SUMIF('8.0'!$D:$D,T_BS!D94,'8.0'!$H:$H),0)</f>
        <v>0</v>
      </c>
      <c r="U94" s="15">
        <f t="shared" si="26"/>
        <v>0</v>
      </c>
      <c r="W94" s="39">
        <f t="shared" si="27"/>
        <v>-128877898</v>
      </c>
      <c r="Y94" s="5"/>
      <c r="AB94" s="39">
        <v>-128877898</v>
      </c>
      <c r="AC94" s="710">
        <f t="shared" si="17"/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</row>
    <row r="95" spans="1:35" ht="18" customHeight="1">
      <c r="A95" s="5"/>
      <c r="D95" s="14">
        <v>123960</v>
      </c>
      <c r="E95" s="6" t="s">
        <v>5</v>
      </c>
      <c r="F95" s="40">
        <v>2406</v>
      </c>
      <c r="G95" s="6" t="s">
        <v>88</v>
      </c>
      <c r="H95" s="5">
        <v>-19482073</v>
      </c>
      <c r="I95" s="211">
        <v>0</v>
      </c>
      <c r="J95" s="211">
        <v>0</v>
      </c>
      <c r="K95" s="15">
        <f t="shared" si="25"/>
        <v>-19482073</v>
      </c>
      <c r="M95" s="676">
        <f>SUMIF('1.0'!$D:$D,T_BS!D95,'1.0'!$N:$N)</f>
        <v>0</v>
      </c>
      <c r="N95" s="211">
        <f>SUMIF('2.0'!$D:$D,T_BS!D95,'2.0'!$N:$N)</f>
        <v>0</v>
      </c>
      <c r="O95" s="7">
        <f>ROUND(SUMIF('3.0'!$D:$D,T_BS!D95,'3.0'!$H:$H),0)</f>
        <v>0</v>
      </c>
      <c r="P95" s="210">
        <f>ROUND(SUMIF('4.0'!$D:$D,T_BS!D95,'4.0'!$N:$N),0)</f>
        <v>0</v>
      </c>
      <c r="Q95" s="7">
        <f>ROUND(SUMIF('5.0'!$D:$D,T_BS!D95,'5.0'!$N:$N),0)</f>
        <v>0</v>
      </c>
      <c r="R95" s="210">
        <f>ROUND(SUMIF('6.0'!$D:$D,T_BS!D95,'6.0'!$N:$N),0)</f>
        <v>0</v>
      </c>
      <c r="S95" s="210">
        <f>ROUND(SUMIF('7.0'!$D:$D,T_BS!D95,'7.0'!$I:$I),0)</f>
        <v>0</v>
      </c>
      <c r="T95" s="210">
        <f>ROUND(SUMIF('8.0'!$D:$D,T_BS!D95,'8.0'!$H:$H),0)</f>
        <v>0</v>
      </c>
      <c r="U95" s="15">
        <f t="shared" si="26"/>
        <v>0</v>
      </c>
      <c r="W95" s="39">
        <f t="shared" si="27"/>
        <v>-19482073</v>
      </c>
      <c r="Y95" s="5"/>
      <c r="AB95" s="39">
        <v>-19482073</v>
      </c>
      <c r="AC95" s="710">
        <f t="shared" si="17"/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</row>
    <row r="96" spans="1:35" ht="18" customHeight="1">
      <c r="A96" s="5"/>
      <c r="D96" s="14">
        <v>124000</v>
      </c>
      <c r="E96" s="6" t="s">
        <v>5</v>
      </c>
      <c r="F96" s="40">
        <v>2407</v>
      </c>
      <c r="G96" s="6" t="s">
        <v>89</v>
      </c>
      <c r="H96" s="5">
        <v>480329381</v>
      </c>
      <c r="I96" s="211">
        <v>0</v>
      </c>
      <c r="J96" s="211">
        <v>0</v>
      </c>
      <c r="K96" s="15">
        <f t="shared" si="25"/>
        <v>480329381</v>
      </c>
      <c r="M96" s="676">
        <f>SUMIF('1.0'!$D:$D,T_BS!D96,'1.0'!$N:$N)</f>
        <v>0</v>
      </c>
      <c r="N96" s="211">
        <f>SUMIF('2.0'!$D:$D,T_BS!D96,'2.0'!$N:$N)</f>
        <v>0</v>
      </c>
      <c r="O96" s="7">
        <f>ROUND(SUMIF('3.0'!$D:$D,T_BS!D96,'3.0'!$H:$H),0)</f>
        <v>0</v>
      </c>
      <c r="P96" s="210">
        <f>ROUND(SUMIF('4.0'!$D:$D,T_BS!D96,'4.0'!$N:$N),0)</f>
        <v>0</v>
      </c>
      <c r="Q96" s="7">
        <f>ROUND(SUMIF('5.0'!$D:$D,T_BS!D96,'5.0'!$N:$N),0)</f>
        <v>0</v>
      </c>
      <c r="R96" s="210">
        <f>ROUND(SUMIF('6.0'!$D:$D,T_BS!D96,'6.0'!$N:$N),0)</f>
        <v>0</v>
      </c>
      <c r="S96" s="210">
        <f>ROUND(SUMIF('7.0'!$D:$D,T_BS!D96,'7.0'!$I:$I),0)</f>
        <v>0</v>
      </c>
      <c r="T96" s="210">
        <f>ROUND(SUMIF('8.0'!$D:$D,T_BS!D96,'8.0'!$H:$H),0)</f>
        <v>0</v>
      </c>
      <c r="U96" s="15">
        <f t="shared" si="26"/>
        <v>0</v>
      </c>
      <c r="W96" s="39">
        <f t="shared" si="27"/>
        <v>480329381</v>
      </c>
      <c r="Y96" s="5"/>
      <c r="AB96" s="39">
        <v>480329381</v>
      </c>
      <c r="AC96" s="710">
        <f t="shared" si="17"/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</row>
    <row r="97" spans="1:35" ht="18" customHeight="1">
      <c r="A97" s="5"/>
      <c r="D97" s="14">
        <v>124050</v>
      </c>
      <c r="E97" s="6" t="s">
        <v>5</v>
      </c>
      <c r="F97" s="40">
        <v>2408</v>
      </c>
      <c r="G97" s="6" t="s">
        <v>90</v>
      </c>
      <c r="H97" s="5">
        <v>-452163728</v>
      </c>
      <c r="I97" s="211">
        <v>0</v>
      </c>
      <c r="J97" s="211">
        <v>0</v>
      </c>
      <c r="K97" s="15">
        <f t="shared" si="25"/>
        <v>-452163728</v>
      </c>
      <c r="M97" s="676">
        <f>SUMIF('1.0'!$D:$D,T_BS!D97,'1.0'!$N:$N)</f>
        <v>0</v>
      </c>
      <c r="N97" s="211">
        <f>SUMIF('2.0'!$D:$D,T_BS!D97,'2.0'!$N:$N)</f>
        <v>0</v>
      </c>
      <c r="O97" s="7">
        <f>ROUND(SUMIF('3.0'!$D:$D,T_BS!D97,'3.0'!$H:$H),0)</f>
        <v>0</v>
      </c>
      <c r="P97" s="210">
        <f>ROUND(SUMIF('4.0'!$D:$D,T_BS!D97,'4.0'!$N:$N),0)</f>
        <v>0</v>
      </c>
      <c r="Q97" s="7">
        <f>ROUND(SUMIF('5.0'!$D:$D,T_BS!D97,'5.0'!$N:$N),0)</f>
        <v>0</v>
      </c>
      <c r="R97" s="210">
        <f>ROUND(SUMIF('6.0'!$D:$D,T_BS!D97,'6.0'!$N:$N),0)</f>
        <v>0</v>
      </c>
      <c r="S97" s="210">
        <f>ROUND(SUMIF('7.0'!$D:$D,T_BS!D97,'7.0'!$I:$I),0)</f>
        <v>0</v>
      </c>
      <c r="T97" s="210">
        <f>ROUND(SUMIF('8.0'!$D:$D,T_BS!D97,'8.0'!$H:$H),0)</f>
        <v>0</v>
      </c>
      <c r="U97" s="15">
        <f t="shared" si="26"/>
        <v>0</v>
      </c>
      <c r="W97" s="39">
        <f t="shared" si="27"/>
        <v>-452163728</v>
      </c>
      <c r="Y97" s="5"/>
      <c r="AB97" s="39">
        <v>-452163728</v>
      </c>
      <c r="AC97" s="710">
        <f t="shared" si="17"/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</row>
    <row r="98" spans="1:35" ht="18" customHeight="1">
      <c r="A98" s="5"/>
      <c r="D98" s="14">
        <v>124160</v>
      </c>
      <c r="E98" s="6" t="s">
        <v>5</v>
      </c>
      <c r="F98" s="40">
        <v>2409</v>
      </c>
      <c r="G98" s="6" t="s">
        <v>91</v>
      </c>
      <c r="H98" s="5">
        <v>-524300</v>
      </c>
      <c r="I98" s="211">
        <v>0</v>
      </c>
      <c r="J98" s="211">
        <v>0</v>
      </c>
      <c r="K98" s="15">
        <f t="shared" si="25"/>
        <v>-524300</v>
      </c>
      <c r="M98" s="676">
        <f>SUMIF('1.0'!$D:$D,T_BS!D98,'1.0'!$N:$N)</f>
        <v>0</v>
      </c>
      <c r="N98" s="211">
        <f>SUMIF('2.0'!$D:$D,T_BS!D98,'2.0'!$N:$N)</f>
        <v>0</v>
      </c>
      <c r="O98" s="7">
        <f>ROUND(SUMIF('3.0'!$D:$D,T_BS!D98,'3.0'!$H:$H),0)</f>
        <v>0</v>
      </c>
      <c r="P98" s="210">
        <f>ROUND(SUMIF('4.0'!$D:$D,T_BS!D98,'4.0'!$N:$N),0)</f>
        <v>0</v>
      </c>
      <c r="Q98" s="7">
        <f>ROUND(SUMIF('5.0'!$D:$D,T_BS!D98,'5.0'!$N:$N),0)</f>
        <v>0</v>
      </c>
      <c r="R98" s="210">
        <f>ROUND(SUMIF('6.0'!$D:$D,T_BS!D98,'6.0'!$N:$N),0)</f>
        <v>0</v>
      </c>
      <c r="S98" s="210">
        <f>ROUND(SUMIF('7.0'!$D:$D,T_BS!D98,'7.0'!$I:$I),0)</f>
        <v>0</v>
      </c>
      <c r="T98" s="210">
        <f>ROUND(SUMIF('8.0'!$D:$D,T_BS!D98,'8.0'!$H:$H),0)</f>
        <v>0</v>
      </c>
      <c r="U98" s="15">
        <f t="shared" si="26"/>
        <v>0</v>
      </c>
      <c r="W98" s="39">
        <f t="shared" si="27"/>
        <v>-524300</v>
      </c>
      <c r="Y98" s="5"/>
      <c r="AB98" s="39">
        <v>-524300</v>
      </c>
      <c r="AC98" s="710">
        <f t="shared" si="17"/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</row>
    <row r="99" spans="1:35" ht="18" customHeight="1">
      <c r="A99" s="5"/>
      <c r="D99" s="14">
        <v>124200</v>
      </c>
      <c r="E99" s="6" t="s">
        <v>5</v>
      </c>
      <c r="F99" s="40">
        <v>2407</v>
      </c>
      <c r="G99" s="6" t="s">
        <v>92</v>
      </c>
      <c r="H99" s="5">
        <v>3004319184</v>
      </c>
      <c r="I99" s="211">
        <v>0</v>
      </c>
      <c r="J99" s="211">
        <v>0</v>
      </c>
      <c r="K99" s="15">
        <f t="shared" si="25"/>
        <v>3004319184</v>
      </c>
      <c r="M99" s="676">
        <f>SUMIF('1.0'!$D:$D,T_BS!D99,'1.0'!$N:$N)</f>
        <v>0</v>
      </c>
      <c r="N99" s="211">
        <f>SUMIF('2.0'!$D:$D,T_BS!D99,'2.0'!$N:$N)</f>
        <v>0</v>
      </c>
      <c r="O99" s="7">
        <f>ROUND(SUMIF('3.0'!$D:$D,T_BS!D99,'3.0'!$H:$H),0)</f>
        <v>0</v>
      </c>
      <c r="P99" s="210">
        <f>ROUND(SUMIF('4.0'!$D:$D,T_BS!D99,'4.0'!$N:$N),0)</f>
        <v>0</v>
      </c>
      <c r="Q99" s="7">
        <f>ROUND(SUMIF('5.0'!$D:$D,T_BS!D99,'5.0'!$N:$N),0)</f>
        <v>0</v>
      </c>
      <c r="R99" s="210">
        <f>ROUND(SUMIF('6.0'!$D:$D,T_BS!D99,'6.0'!$N:$N),0)</f>
        <v>0</v>
      </c>
      <c r="S99" s="210">
        <f>ROUND(SUMIF('7.0'!$D:$D,T_BS!D99,'7.0'!$I:$I),0)</f>
        <v>0</v>
      </c>
      <c r="T99" s="210">
        <f>ROUND(SUMIF('8.0'!$D:$D,T_BS!D99,'8.0'!$H:$H),0)</f>
        <v>0</v>
      </c>
      <c r="U99" s="15">
        <f t="shared" si="26"/>
        <v>0</v>
      </c>
      <c r="W99" s="39">
        <f t="shared" si="27"/>
        <v>3004319184</v>
      </c>
      <c r="Y99" s="5"/>
      <c r="AB99" s="39">
        <v>3004319184</v>
      </c>
      <c r="AC99" s="710">
        <f t="shared" si="17"/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</row>
    <row r="100" spans="1:35" ht="18" customHeight="1">
      <c r="A100" s="5"/>
      <c r="D100" s="14">
        <v>124250</v>
      </c>
      <c r="E100" s="6" t="s">
        <v>5</v>
      </c>
      <c r="F100" s="40">
        <v>2408</v>
      </c>
      <c r="G100" s="6" t="s">
        <v>93</v>
      </c>
      <c r="H100" s="5">
        <v>-2329952243</v>
      </c>
      <c r="I100" s="211">
        <v>0</v>
      </c>
      <c r="J100" s="211">
        <v>0</v>
      </c>
      <c r="K100" s="15">
        <f t="shared" si="25"/>
        <v>-2329952243</v>
      </c>
      <c r="M100" s="676">
        <f>SUMIF('1.0'!$D:$D,T_BS!D100,'1.0'!$N:$N)</f>
        <v>0</v>
      </c>
      <c r="N100" s="211">
        <f>SUMIF('2.0'!$D:$D,T_BS!D100,'2.0'!$N:$N)</f>
        <v>0</v>
      </c>
      <c r="O100" s="7">
        <f>ROUND(SUMIF('3.0'!$D:$D,T_BS!D100,'3.0'!$H:$H),0)</f>
        <v>0</v>
      </c>
      <c r="P100" s="210">
        <f>ROUND(SUMIF('4.0'!$D:$D,T_BS!D100,'4.0'!$N:$N),0)</f>
        <v>0</v>
      </c>
      <c r="Q100" s="7">
        <f>ROUND(SUMIF('5.0'!$D:$D,T_BS!D100,'5.0'!$N:$N),0)</f>
        <v>0</v>
      </c>
      <c r="R100" s="210">
        <f>ROUND(SUMIF('6.0'!$D:$D,T_BS!D100,'6.0'!$N:$N),0)</f>
        <v>0</v>
      </c>
      <c r="S100" s="210">
        <f>ROUND(SUMIF('7.0'!$D:$D,T_BS!D100,'7.0'!$I:$I),0)</f>
        <v>0</v>
      </c>
      <c r="T100" s="210">
        <f>ROUND(SUMIF('8.0'!$D:$D,T_BS!D100,'8.0'!$H:$H),0)</f>
        <v>0</v>
      </c>
      <c r="U100" s="15">
        <f t="shared" si="26"/>
        <v>0</v>
      </c>
      <c r="W100" s="39">
        <f t="shared" si="27"/>
        <v>-2329952243</v>
      </c>
      <c r="Y100" s="5"/>
      <c r="AB100" s="39">
        <v>-2329952243</v>
      </c>
      <c r="AC100" s="710">
        <f t="shared" si="17"/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</row>
    <row r="101" spans="1:35" ht="18" customHeight="1">
      <c r="A101" s="5"/>
      <c r="D101" s="14">
        <v>124260</v>
      </c>
      <c r="E101" s="6" t="s">
        <v>5</v>
      </c>
      <c r="F101" s="40">
        <v>2409</v>
      </c>
      <c r="G101" s="6" t="s">
        <v>94</v>
      </c>
      <c r="H101" s="5">
        <v>-202938768</v>
      </c>
      <c r="I101" s="211">
        <v>0</v>
      </c>
      <c r="J101" s="211">
        <v>0</v>
      </c>
      <c r="K101" s="15">
        <f t="shared" si="25"/>
        <v>-202938768</v>
      </c>
      <c r="M101" s="676">
        <f>SUMIF('1.0'!$D:$D,T_BS!D101,'1.0'!$N:$N)</f>
        <v>0</v>
      </c>
      <c r="N101" s="211">
        <f>SUMIF('2.0'!$D:$D,T_BS!D101,'2.0'!$N:$N)</f>
        <v>0</v>
      </c>
      <c r="O101" s="7">
        <f>ROUND(SUMIF('3.0'!$D:$D,T_BS!D101,'3.0'!$H:$H),0)</f>
        <v>0</v>
      </c>
      <c r="P101" s="210">
        <f>ROUND(SUMIF('4.0'!$D:$D,T_BS!D101,'4.0'!$N:$N),0)</f>
        <v>0</v>
      </c>
      <c r="Q101" s="7">
        <f>ROUND(SUMIF('5.0'!$D:$D,T_BS!D101,'5.0'!$N:$N),0)</f>
        <v>0</v>
      </c>
      <c r="R101" s="210">
        <f>ROUND(SUMIF('6.0'!$D:$D,T_BS!D101,'6.0'!$N:$N),0)</f>
        <v>0</v>
      </c>
      <c r="S101" s="210">
        <f>ROUND(SUMIF('7.0'!$D:$D,T_BS!D101,'7.0'!$I:$I),0)</f>
        <v>0</v>
      </c>
      <c r="T101" s="210">
        <f>ROUND(SUMIF('8.0'!$D:$D,T_BS!D101,'8.0'!$H:$H),0)</f>
        <v>0</v>
      </c>
      <c r="U101" s="15">
        <f t="shared" si="26"/>
        <v>0</v>
      </c>
      <c r="W101" s="39">
        <f t="shared" si="27"/>
        <v>-202938768</v>
      </c>
      <c r="Y101" s="5"/>
      <c r="AB101" s="39">
        <v>-202938768</v>
      </c>
      <c r="AC101" s="710">
        <f t="shared" si="17"/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</row>
    <row r="102" spans="1:35" ht="18" customHeight="1">
      <c r="A102" s="5"/>
      <c r="D102" s="14">
        <v>124300</v>
      </c>
      <c r="E102" s="6" t="s">
        <v>5</v>
      </c>
      <c r="F102" s="40">
        <v>2413</v>
      </c>
      <c r="G102" s="6" t="s">
        <v>95</v>
      </c>
      <c r="H102" s="5">
        <v>4387917702</v>
      </c>
      <c r="I102" s="211">
        <v>83909832</v>
      </c>
      <c r="J102" s="211">
        <v>44655206</v>
      </c>
      <c r="K102" s="15">
        <f t="shared" si="25"/>
        <v>4516482740</v>
      </c>
      <c r="M102" s="676">
        <f>SUMIF('1.0'!$D:$D,T_BS!D102,'1.0'!$N:$N)</f>
        <v>0</v>
      </c>
      <c r="N102" s="211">
        <f>SUMIF('2.0'!$D:$D,T_BS!D102,'2.0'!$N:$N)</f>
        <v>0</v>
      </c>
      <c r="O102" s="7">
        <f>ROUND(SUMIF('3.0'!$D:$D,T_BS!D102,'3.0'!$H:$H),0)</f>
        <v>0</v>
      </c>
      <c r="P102" s="210">
        <f>ROUND(SUMIF('4.0'!$D:$D,T_BS!D102,'4.0'!$N:$N),0)</f>
        <v>0</v>
      </c>
      <c r="Q102" s="7">
        <f>ROUND(SUMIF('5.0'!$D:$D,T_BS!D102,'5.0'!$N:$N),0)</f>
        <v>0</v>
      </c>
      <c r="R102" s="210">
        <f>ROUND(SUMIF('6.0'!$D:$D,T_BS!D102,'6.0'!$N:$N),0)</f>
        <v>0</v>
      </c>
      <c r="S102" s="210">
        <f>ROUND(SUMIF('7.0'!$D:$D,T_BS!D102,'7.0'!$I:$I),0)</f>
        <v>0</v>
      </c>
      <c r="T102" s="210">
        <f>ROUND(SUMIF('8.0'!$D:$D,T_BS!D102,'8.0'!$H:$H),0)</f>
        <v>0</v>
      </c>
      <c r="U102" s="15">
        <f t="shared" si="26"/>
        <v>0</v>
      </c>
      <c r="W102" s="39">
        <f t="shared" si="27"/>
        <v>4516482740</v>
      </c>
      <c r="Y102" s="5"/>
      <c r="AB102" s="39">
        <v>4516482740</v>
      </c>
      <c r="AC102" s="710">
        <f t="shared" si="17"/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</row>
    <row r="103" spans="1:35" ht="18" customHeight="1">
      <c r="A103" s="5"/>
      <c r="D103" s="14">
        <v>124350</v>
      </c>
      <c r="E103" s="6" t="s">
        <v>5</v>
      </c>
      <c r="F103" s="40">
        <v>2414</v>
      </c>
      <c r="G103" s="6" t="s">
        <v>96</v>
      </c>
      <c r="H103" s="5">
        <v>-2342245002</v>
      </c>
      <c r="I103" s="211">
        <v>-68376072</v>
      </c>
      <c r="J103" s="211">
        <v>-29638085</v>
      </c>
      <c r="K103" s="15">
        <f t="shared" si="25"/>
        <v>-2440259159</v>
      </c>
      <c r="M103" s="676">
        <f>SUMIF('1.0'!$D:$D,T_BS!D103,'1.0'!$N:$N)</f>
        <v>0</v>
      </c>
      <c r="N103" s="211">
        <f>SUMIF('2.0'!$D:$D,T_BS!D103,'2.0'!$N:$N)</f>
        <v>0</v>
      </c>
      <c r="O103" s="7">
        <f>ROUND(SUMIF('3.0'!$D:$D,T_BS!D103,'3.0'!$H:$H),0)</f>
        <v>0</v>
      </c>
      <c r="P103" s="210">
        <f>ROUND(SUMIF('4.0'!$D:$D,T_BS!D103,'4.0'!$N:$N),0)</f>
        <v>0</v>
      </c>
      <c r="Q103" s="7">
        <f>ROUND(SUMIF('5.0'!$D:$D,T_BS!D103,'5.0'!$N:$N),0)</f>
        <v>0</v>
      </c>
      <c r="R103" s="210">
        <f>ROUND(SUMIF('6.0'!$D:$D,T_BS!D103,'6.0'!$N:$N),0)</f>
        <v>0</v>
      </c>
      <c r="S103" s="210">
        <f>ROUND(SUMIF('7.0'!$D:$D,T_BS!D103,'7.0'!$I:$I),0)</f>
        <v>0</v>
      </c>
      <c r="T103" s="210">
        <f>ROUND(SUMIF('8.0'!$D:$D,T_BS!D103,'8.0'!$H:$H),0)</f>
        <v>0</v>
      </c>
      <c r="U103" s="15">
        <f t="shared" si="26"/>
        <v>0</v>
      </c>
      <c r="W103" s="39">
        <f t="shared" si="27"/>
        <v>-2440259159</v>
      </c>
      <c r="Y103" s="5"/>
      <c r="AA103" s="5">
        <f>SUM(I102:I103)</f>
        <v>15533760</v>
      </c>
      <c r="AB103" s="39">
        <v>-2440259159</v>
      </c>
      <c r="AC103" s="710">
        <f t="shared" si="17"/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</row>
    <row r="104" spans="1:35" ht="18" customHeight="1">
      <c r="A104" s="5"/>
      <c r="D104" s="14">
        <v>124360</v>
      </c>
      <c r="E104" s="6" t="s">
        <v>5</v>
      </c>
      <c r="F104" s="40">
        <v>2415</v>
      </c>
      <c r="G104" s="6" t="s">
        <v>97</v>
      </c>
      <c r="H104" s="5">
        <v>-540095083</v>
      </c>
      <c r="I104" s="211">
        <v>0</v>
      </c>
      <c r="J104" s="211">
        <v>0</v>
      </c>
      <c r="K104" s="15">
        <f t="shared" si="25"/>
        <v>-540095083</v>
      </c>
      <c r="M104" s="676">
        <f>SUMIF('1.0'!$D:$D,T_BS!D104,'1.0'!$N:$N)</f>
        <v>0</v>
      </c>
      <c r="N104" s="211">
        <f>SUMIF('2.0'!$D:$D,T_BS!D104,'2.0'!$N:$N)</f>
        <v>0</v>
      </c>
      <c r="O104" s="7">
        <f>ROUND(SUMIF('3.0'!$D:$D,T_BS!D104,'3.0'!$H:$H),0)</f>
        <v>0</v>
      </c>
      <c r="P104" s="210">
        <f>ROUND(SUMIF('4.0'!$D:$D,T_BS!D104,'4.0'!$N:$N),0)</f>
        <v>0</v>
      </c>
      <c r="Q104" s="7">
        <f>ROUND(SUMIF('5.0'!$D:$D,T_BS!D104,'5.0'!$N:$N),0)</f>
        <v>0</v>
      </c>
      <c r="R104" s="210">
        <f>ROUND(SUMIF('6.0'!$D:$D,T_BS!D104,'6.0'!$N:$N),0)</f>
        <v>0</v>
      </c>
      <c r="S104" s="210">
        <f>ROUND(SUMIF('7.0'!$D:$D,T_BS!D104,'7.0'!$I:$I),0)</f>
        <v>0</v>
      </c>
      <c r="T104" s="210">
        <f>ROUND(SUMIF('8.0'!$D:$D,T_BS!D104,'8.0'!$H:$H),0)</f>
        <v>0</v>
      </c>
      <c r="U104" s="15">
        <f t="shared" si="26"/>
        <v>0</v>
      </c>
      <c r="W104" s="39">
        <f t="shared" si="27"/>
        <v>-540095083</v>
      </c>
      <c r="Y104" s="5"/>
      <c r="AB104" s="39">
        <v>-540095083</v>
      </c>
      <c r="AC104" s="710">
        <f t="shared" si="17"/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</row>
    <row r="105" spans="1:35" ht="18" customHeight="1">
      <c r="A105" s="5"/>
      <c r="D105" s="14">
        <v>124400</v>
      </c>
      <c r="E105" s="6" t="s">
        <v>5</v>
      </c>
      <c r="F105" s="40">
        <v>2413</v>
      </c>
      <c r="G105" s="6" t="s">
        <v>98</v>
      </c>
      <c r="H105" s="5">
        <v>3029894228</v>
      </c>
      <c r="I105" s="211">
        <v>0</v>
      </c>
      <c r="J105" s="211">
        <v>0</v>
      </c>
      <c r="K105" s="15">
        <f t="shared" si="25"/>
        <v>3029894228</v>
      </c>
      <c r="M105" s="676">
        <f>SUMIF('1.0'!$D:$D,T_BS!D105,'1.0'!$N:$N)</f>
        <v>0</v>
      </c>
      <c r="N105" s="211">
        <f>SUMIF('2.0'!$D:$D,T_BS!D105,'2.0'!$N:$N)</f>
        <v>0</v>
      </c>
      <c r="O105" s="7">
        <f>ROUND(SUMIF('3.0'!$D:$D,T_BS!D105,'3.0'!$H:$H),0)</f>
        <v>0</v>
      </c>
      <c r="P105" s="210">
        <f>ROUND(SUMIF('4.0'!$D:$D,T_BS!D105,'4.0'!$N:$N),0)</f>
        <v>0</v>
      </c>
      <c r="Q105" s="7">
        <f>ROUND(SUMIF('5.0'!$D:$D,T_BS!D105,'5.0'!$N:$N),0)</f>
        <v>0</v>
      </c>
      <c r="R105" s="210">
        <f>ROUND(SUMIF('6.0'!$D:$D,T_BS!D105,'6.0'!$N:$N),0)</f>
        <v>0</v>
      </c>
      <c r="S105" s="210">
        <f>ROUND(SUMIF('7.0'!$D:$D,T_BS!D105,'7.0'!$I:$I),0)</f>
        <v>0</v>
      </c>
      <c r="T105" s="210">
        <f>ROUND(SUMIF('8.0'!$D:$D,T_BS!D105,'8.0'!$H:$H),0)</f>
        <v>0</v>
      </c>
      <c r="U105" s="15">
        <f t="shared" si="26"/>
        <v>0</v>
      </c>
      <c r="W105" s="39">
        <f t="shared" si="27"/>
        <v>3029894228</v>
      </c>
      <c r="Y105" s="5"/>
      <c r="AB105" s="39">
        <v>3029894228</v>
      </c>
      <c r="AC105" s="710">
        <f t="shared" si="17"/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</row>
    <row r="106" spans="1:35" ht="18" customHeight="1">
      <c r="A106" s="5"/>
      <c r="D106" s="14">
        <v>124450</v>
      </c>
      <c r="E106" s="6" t="s">
        <v>5</v>
      </c>
      <c r="F106" s="40">
        <v>2414</v>
      </c>
      <c r="G106" s="6" t="s">
        <v>99</v>
      </c>
      <c r="H106" s="5">
        <v>-1300725657</v>
      </c>
      <c r="I106" s="211">
        <v>0</v>
      </c>
      <c r="J106" s="211">
        <v>0</v>
      </c>
      <c r="K106" s="15">
        <f t="shared" si="25"/>
        <v>-1300725657</v>
      </c>
      <c r="M106" s="676">
        <f>SUMIF('1.0'!$D:$D,T_BS!D106,'1.0'!$N:$N)</f>
        <v>0</v>
      </c>
      <c r="N106" s="211">
        <f>SUMIF('2.0'!$D:$D,T_BS!D106,'2.0'!$N:$N)</f>
        <v>0</v>
      </c>
      <c r="O106" s="7">
        <f>ROUND(SUMIF('3.0'!$D:$D,T_BS!D106,'3.0'!$H:$H),0)</f>
        <v>0</v>
      </c>
      <c r="P106" s="210">
        <f>ROUND(SUMIF('4.0'!$D:$D,T_BS!D106,'4.0'!$N:$N),0)</f>
        <v>0</v>
      </c>
      <c r="Q106" s="7">
        <f>ROUND(SUMIF('5.0'!$D:$D,T_BS!D106,'5.0'!$N:$N),0)</f>
        <v>0</v>
      </c>
      <c r="R106" s="210">
        <f>ROUND(SUMIF('6.0'!$D:$D,T_BS!D106,'6.0'!$N:$N),0)</f>
        <v>0</v>
      </c>
      <c r="S106" s="210">
        <f>ROUND(SUMIF('7.0'!$D:$D,T_BS!D106,'7.0'!$I:$I),0)</f>
        <v>0</v>
      </c>
      <c r="T106" s="210">
        <f>ROUND(SUMIF('8.0'!$D:$D,T_BS!D106,'8.0'!$H:$H),0)</f>
        <v>0</v>
      </c>
      <c r="U106" s="15">
        <f t="shared" si="26"/>
        <v>0</v>
      </c>
      <c r="W106" s="39">
        <f t="shared" si="27"/>
        <v>-1300725657</v>
      </c>
      <c r="Y106" s="5"/>
      <c r="AB106" s="39">
        <v>-1300725657</v>
      </c>
      <c r="AC106" s="710">
        <f t="shared" si="17"/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</row>
    <row r="107" spans="1:35" ht="18" customHeight="1">
      <c r="A107" s="5"/>
      <c r="D107" s="14">
        <v>124600</v>
      </c>
      <c r="E107" s="6" t="s">
        <v>5</v>
      </c>
      <c r="F107" s="40">
        <v>2415</v>
      </c>
      <c r="G107" s="6" t="s">
        <v>100</v>
      </c>
      <c r="H107" s="5">
        <v>-1702497086</v>
      </c>
      <c r="I107" s="211">
        <v>0</v>
      </c>
      <c r="J107" s="211">
        <v>0</v>
      </c>
      <c r="K107" s="15">
        <f t="shared" si="25"/>
        <v>-1702497086</v>
      </c>
      <c r="M107" s="676">
        <f>SUMIF('1.0'!$D:$D,T_BS!D107,'1.0'!$N:$N)</f>
        <v>0</v>
      </c>
      <c r="N107" s="211">
        <f>SUMIF('2.0'!$D:$D,T_BS!D107,'2.0'!$N:$N)</f>
        <v>0</v>
      </c>
      <c r="O107" s="7">
        <f>ROUND(SUMIF('3.0'!$D:$D,T_BS!D107,'3.0'!$H:$H),0)</f>
        <v>0</v>
      </c>
      <c r="P107" s="210">
        <f>ROUND(SUMIF('4.0'!$D:$D,T_BS!D107,'4.0'!$N:$N),0)</f>
        <v>0</v>
      </c>
      <c r="Q107" s="7">
        <f>ROUND(SUMIF('5.0'!$D:$D,T_BS!D107,'5.0'!$N:$N),0)</f>
        <v>0</v>
      </c>
      <c r="R107" s="210">
        <f>ROUND(SUMIF('6.0'!$D:$D,T_BS!D107,'6.0'!$N:$N),0)</f>
        <v>0</v>
      </c>
      <c r="S107" s="210">
        <f>ROUND(SUMIF('7.0'!$D:$D,T_BS!D107,'7.0'!$I:$I),0)</f>
        <v>0</v>
      </c>
      <c r="T107" s="210">
        <f>ROUND(SUMIF('8.0'!$D:$D,T_BS!D107,'8.0'!$H:$H),0)</f>
        <v>0</v>
      </c>
      <c r="U107" s="15">
        <f t="shared" si="26"/>
        <v>0</v>
      </c>
      <c r="W107" s="39">
        <f t="shared" si="27"/>
        <v>-1702497086</v>
      </c>
      <c r="Y107" s="5"/>
      <c r="AB107" s="39">
        <v>-1702497086</v>
      </c>
      <c r="AC107" s="710">
        <f t="shared" si="17"/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</row>
    <row r="108" spans="1:35" ht="18" customHeight="1">
      <c r="A108" s="5"/>
      <c r="D108" s="14">
        <v>126100</v>
      </c>
      <c r="E108" s="6" t="s">
        <v>5</v>
      </c>
      <c r="F108" s="40">
        <v>2701</v>
      </c>
      <c r="G108" s="6" t="s">
        <v>101</v>
      </c>
      <c r="H108" s="5">
        <v>8366718615</v>
      </c>
      <c r="I108" s="211">
        <v>37786711</v>
      </c>
      <c r="J108" s="211">
        <v>917641915</v>
      </c>
      <c r="K108" s="15">
        <f t="shared" si="25"/>
        <v>9322147241</v>
      </c>
      <c r="M108" s="676">
        <f>SUMIF('1.0'!$D:$D,T_BS!D108,'1.0'!$N:$N)</f>
        <v>0</v>
      </c>
      <c r="N108" s="211">
        <f>SUMIF('2.0'!$D:$D,T_BS!D108,'2.0'!$N:$N)</f>
        <v>0</v>
      </c>
      <c r="O108" s="7">
        <f>ROUND(SUMIF('3.0'!$D:$D,T_BS!D108,'3.0'!$H:$H),0)</f>
        <v>0</v>
      </c>
      <c r="P108" s="210">
        <f>ROUND(SUMIF('4.0'!$D:$D,T_BS!D108,'4.0'!$N:$N),0)</f>
        <v>0</v>
      </c>
      <c r="Q108" s="7">
        <f>ROUND(SUMIF('5.0'!$D:$D,T_BS!D108,'5.0'!$N:$N),0)</f>
        <v>0</v>
      </c>
      <c r="R108" s="210">
        <f>ROUND(SUMIF('6.0'!$D:$D,T_BS!D108,'6.0'!$N:$N),0)</f>
        <v>0</v>
      </c>
      <c r="S108" s="210">
        <f>ROUND(SUMIF('7.0'!$D:$D,T_BS!D108,'7.0'!$I:$I),0)</f>
        <v>0</v>
      </c>
      <c r="T108" s="210">
        <f>ROUND(SUMIF('8.0'!$D:$D,T_BS!D108,'8.0'!$H:$H),0)</f>
        <v>0</v>
      </c>
      <c r="U108" s="15">
        <f t="shared" si="26"/>
        <v>0</v>
      </c>
      <c r="W108" s="39">
        <f t="shared" si="27"/>
        <v>9322147241</v>
      </c>
      <c r="Y108" s="5"/>
      <c r="AB108" s="39">
        <v>9345335650</v>
      </c>
      <c r="AC108" s="710">
        <f t="shared" si="17"/>
        <v>-23188409</v>
      </c>
      <c r="AE108" s="5">
        <v>0</v>
      </c>
      <c r="AF108" s="5">
        <v>0</v>
      </c>
      <c r="AG108" s="5">
        <v>-23188409</v>
      </c>
      <c r="AH108" s="5">
        <v>0</v>
      </c>
      <c r="AI108" s="5">
        <v>-23188409</v>
      </c>
    </row>
    <row r="109" spans="1:35" ht="18" customHeight="1">
      <c r="A109" s="5"/>
      <c r="D109" s="14">
        <v>126110</v>
      </c>
      <c r="E109" s="6" t="s">
        <v>5</v>
      </c>
      <c r="F109" s="40">
        <v>2702</v>
      </c>
      <c r="G109" s="6" t="s">
        <v>102</v>
      </c>
      <c r="H109" s="5">
        <v>-3880115334</v>
      </c>
      <c r="I109" s="211">
        <v>-14695487</v>
      </c>
      <c r="J109" s="211">
        <v>-272517196</v>
      </c>
      <c r="K109" s="15">
        <f t="shared" si="25"/>
        <v>-4167328017</v>
      </c>
      <c r="M109" s="676">
        <f>SUMIF('1.0'!$D:$D,T_BS!D109,'1.0'!$N:$N)</f>
        <v>0</v>
      </c>
      <c r="N109" s="211">
        <f>SUMIF('2.0'!$D:$D,T_BS!D109,'2.0'!$N:$N)</f>
        <v>0</v>
      </c>
      <c r="O109" s="7">
        <f>ROUND(SUMIF('3.0'!$D:$D,T_BS!D109,'3.0'!$H:$H),0)</f>
        <v>0</v>
      </c>
      <c r="P109" s="210">
        <f>ROUND(SUMIF('4.0'!$D:$D,T_BS!D109,'4.0'!$N:$N),0)</f>
        <v>0</v>
      </c>
      <c r="Q109" s="7">
        <f>ROUND(SUMIF('5.0'!$D:$D,T_BS!D109,'5.0'!$N:$N),0)</f>
        <v>0</v>
      </c>
      <c r="R109" s="210">
        <f>ROUND(SUMIF('6.0'!$D:$D,T_BS!D109,'6.0'!$N:$N),0)</f>
        <v>0</v>
      </c>
      <c r="S109" s="210">
        <f>ROUND(SUMIF('7.0'!$D:$D,T_BS!D109,'7.0'!$I:$I),0)</f>
        <v>0</v>
      </c>
      <c r="T109" s="210">
        <f>ROUND(SUMIF('8.0'!$D:$D,T_BS!D109,'8.0'!$H:$H),0)</f>
        <v>0</v>
      </c>
      <c r="U109" s="15">
        <f t="shared" si="26"/>
        <v>0</v>
      </c>
      <c r="W109" s="39">
        <f t="shared" si="27"/>
        <v>-4167328017</v>
      </c>
      <c r="Y109" s="5"/>
      <c r="AB109" s="39">
        <v>-4592817517</v>
      </c>
      <c r="AC109" s="710">
        <f t="shared" si="17"/>
        <v>425489500</v>
      </c>
      <c r="AE109" s="5">
        <v>0</v>
      </c>
      <c r="AF109" s="5">
        <v>0</v>
      </c>
      <c r="AG109" s="5">
        <v>425489500</v>
      </c>
      <c r="AH109" s="5">
        <v>0</v>
      </c>
      <c r="AI109" s="5">
        <v>425489500</v>
      </c>
    </row>
    <row r="110" spans="1:35" ht="18" customHeight="1">
      <c r="A110" s="5"/>
      <c r="D110" s="14">
        <v>126200</v>
      </c>
      <c r="E110" s="6" t="s">
        <v>5</v>
      </c>
      <c r="F110" s="40">
        <v>2801</v>
      </c>
      <c r="G110" s="6" t="s">
        <v>103</v>
      </c>
      <c r="H110" s="5">
        <v>96167436</v>
      </c>
      <c r="I110" s="211">
        <v>0</v>
      </c>
      <c r="J110" s="211">
        <v>0</v>
      </c>
      <c r="K110" s="15">
        <f t="shared" si="25"/>
        <v>96167436</v>
      </c>
      <c r="M110" s="676">
        <f>SUMIF('1.0'!$D:$D,T_BS!D110,'1.0'!$N:$N)</f>
        <v>0</v>
      </c>
      <c r="N110" s="211">
        <f>SUMIF('2.0'!$D:$D,T_BS!D110,'2.0'!$N:$N)</f>
        <v>0</v>
      </c>
      <c r="O110" s="7">
        <f>ROUND(SUMIF('3.0'!$D:$D,T_BS!D110,'3.0'!$H:$H),0)</f>
        <v>0</v>
      </c>
      <c r="P110" s="210">
        <f>ROUND(SUMIF('4.0'!$D:$D,T_BS!D110,'4.0'!$N:$N),0)</f>
        <v>0</v>
      </c>
      <c r="Q110" s="7">
        <f>ROUND(SUMIF('5.0'!$D:$D,T_BS!D110,'5.0'!$N:$N),0)</f>
        <v>0</v>
      </c>
      <c r="R110" s="210">
        <f>ROUND(SUMIF('6.0'!$D:$D,T_BS!D110,'6.0'!$N:$N),0)</f>
        <v>0</v>
      </c>
      <c r="S110" s="210">
        <f>ROUND(SUMIF('7.0'!$D:$D,T_BS!D110,'7.0'!$I:$I),0)</f>
        <v>0</v>
      </c>
      <c r="T110" s="210">
        <f>ROUND(SUMIF('8.0'!$D:$D,T_BS!D110,'8.0'!$H:$H),0)</f>
        <v>0</v>
      </c>
      <c r="U110" s="15">
        <f t="shared" si="26"/>
        <v>0</v>
      </c>
      <c r="W110" s="39">
        <f t="shared" si="27"/>
        <v>96167436</v>
      </c>
      <c r="Y110" s="5"/>
      <c r="AB110" s="39">
        <v>96167436</v>
      </c>
      <c r="AC110" s="710">
        <f t="shared" si="17"/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</row>
    <row r="111" spans="1:35" ht="18" customHeight="1">
      <c r="A111" s="5"/>
      <c r="D111" s="14">
        <v>126210</v>
      </c>
      <c r="E111" s="6" t="s">
        <v>5</v>
      </c>
      <c r="F111" s="40">
        <v>2802</v>
      </c>
      <c r="G111" s="6" t="s">
        <v>104</v>
      </c>
      <c r="H111" s="5">
        <v>-69983529</v>
      </c>
      <c r="I111" s="211">
        <v>0</v>
      </c>
      <c r="J111" s="211">
        <v>0</v>
      </c>
      <c r="K111" s="15">
        <f t="shared" si="25"/>
        <v>-69983529</v>
      </c>
      <c r="M111" s="676">
        <f>SUMIF('1.0'!$D:$D,T_BS!D111,'1.0'!$N:$N)</f>
        <v>0</v>
      </c>
      <c r="N111" s="211">
        <f>SUMIF('2.0'!$D:$D,T_BS!D111,'2.0'!$N:$N)</f>
        <v>0</v>
      </c>
      <c r="O111" s="7">
        <f>ROUND(SUMIF('3.0'!$D:$D,T_BS!D111,'3.0'!$H:$H),0)</f>
        <v>0</v>
      </c>
      <c r="P111" s="210">
        <f>ROUND(SUMIF('4.0'!$D:$D,T_BS!D111,'4.0'!$N:$N),0)</f>
        <v>0</v>
      </c>
      <c r="Q111" s="7">
        <f>ROUND(SUMIF('5.0'!$D:$D,T_BS!D111,'5.0'!$N:$N),0)</f>
        <v>0</v>
      </c>
      <c r="R111" s="210">
        <f>ROUND(SUMIF('6.0'!$D:$D,T_BS!D111,'6.0'!$N:$N),0)</f>
        <v>0</v>
      </c>
      <c r="S111" s="210">
        <f>ROUND(SUMIF('7.0'!$D:$D,T_BS!D111,'7.0'!$I:$I),0)</f>
        <v>0</v>
      </c>
      <c r="T111" s="210">
        <f>ROUND(SUMIF('8.0'!$D:$D,T_BS!D111,'8.0'!$H:$H),0)</f>
        <v>0</v>
      </c>
      <c r="U111" s="15">
        <f t="shared" si="26"/>
        <v>0</v>
      </c>
      <c r="W111" s="39">
        <f t="shared" si="27"/>
        <v>-69983529</v>
      </c>
      <c r="Y111" s="5"/>
      <c r="AB111" s="39">
        <v>-69983529</v>
      </c>
      <c r="AC111" s="710">
        <f t="shared" si="17"/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</row>
    <row r="112" spans="1:35" ht="18" customHeight="1">
      <c r="A112" s="5"/>
      <c r="D112" s="868">
        <v>126300</v>
      </c>
      <c r="E112" s="6" t="s">
        <v>5</v>
      </c>
      <c r="F112" s="40">
        <v>2811</v>
      </c>
      <c r="G112" s="869" t="s">
        <v>2260</v>
      </c>
      <c r="H112" s="5">
        <v>244897772</v>
      </c>
      <c r="I112" s="211">
        <v>0</v>
      </c>
      <c r="J112" s="211">
        <v>0</v>
      </c>
      <c r="K112" s="15">
        <f t="shared" ref="K112:K113" si="28">SUM(H112:J112)</f>
        <v>244897772</v>
      </c>
      <c r="M112" s="676">
        <f>SUMIF('1.0'!$D:$D,T_BS!D112,'1.0'!$N:$N)</f>
        <v>0</v>
      </c>
      <c r="N112" s="211">
        <f>SUMIF('2.0'!$D:$D,T_BS!D112,'2.0'!$N:$N)</f>
        <v>0</v>
      </c>
      <c r="O112" s="7">
        <f>ROUND(SUMIF('3.0'!$D:$D,T_BS!D112,'3.0'!$H:$H),0)</f>
        <v>0</v>
      </c>
      <c r="P112" s="210">
        <f>ROUND(SUMIF('4.0'!$D:$D,T_BS!D112,'4.0'!$N:$N),0)</f>
        <v>0</v>
      </c>
      <c r="Q112" s="7">
        <f>ROUND(SUMIF('5.0'!$D:$D,T_BS!D112,'5.0'!$N:$N),0)</f>
        <v>0</v>
      </c>
      <c r="R112" s="210">
        <f>ROUND(SUMIF('6.0'!$D:$D,T_BS!D112,'6.0'!$N:$N),0)</f>
        <v>0</v>
      </c>
      <c r="S112" s="210">
        <f>ROUND(SUMIF('7.0'!$D:$D,T_BS!D112,'7.0'!$I:$I),0)</f>
        <v>0</v>
      </c>
      <c r="T112" s="210">
        <f>ROUND(SUMIF('8.0'!$D:$D,T_BS!D112,'8.0'!$H:$H),0)</f>
        <v>0</v>
      </c>
      <c r="U112" s="15">
        <f t="shared" ref="U112:U113" si="29">SUM(M112:T112)</f>
        <v>0</v>
      </c>
      <c r="W112" s="39">
        <f t="shared" ref="W112:W113" si="30">U112+K112</f>
        <v>244897772</v>
      </c>
      <c r="Y112" s="5"/>
      <c r="AB112" s="39">
        <v>244897772</v>
      </c>
      <c r="AC112" s="710">
        <f t="shared" si="17"/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</row>
    <row r="113" spans="1:35" ht="18" customHeight="1">
      <c r="A113" s="5"/>
      <c r="D113" s="868">
        <v>126310</v>
      </c>
      <c r="E113" s="6" t="s">
        <v>5</v>
      </c>
      <c r="F113" s="40">
        <v>2812</v>
      </c>
      <c r="G113" s="869" t="s">
        <v>2261</v>
      </c>
      <c r="H113" s="5">
        <v>-4014718</v>
      </c>
      <c r="I113" s="211">
        <v>0</v>
      </c>
      <c r="J113" s="211">
        <v>0</v>
      </c>
      <c r="K113" s="15">
        <f t="shared" si="28"/>
        <v>-4014718</v>
      </c>
      <c r="M113" s="676">
        <f>SUMIF('1.0'!$D:$D,T_BS!D113,'1.0'!$N:$N)</f>
        <v>0</v>
      </c>
      <c r="N113" s="211">
        <f>SUMIF('2.0'!$D:$D,T_BS!D113,'2.0'!$N:$N)</f>
        <v>0</v>
      </c>
      <c r="O113" s="7">
        <f>ROUND(SUMIF('3.0'!$D:$D,T_BS!D113,'3.0'!$H:$H),0)</f>
        <v>0</v>
      </c>
      <c r="P113" s="210">
        <f>ROUND(SUMIF('4.0'!$D:$D,T_BS!D113,'4.0'!$N:$N),0)</f>
        <v>0</v>
      </c>
      <c r="Q113" s="7">
        <f>ROUND(SUMIF('5.0'!$D:$D,T_BS!D113,'5.0'!$N:$N),0)</f>
        <v>0</v>
      </c>
      <c r="R113" s="210">
        <f>ROUND(SUMIF('6.0'!$D:$D,T_BS!D113,'6.0'!$N:$N),0)</f>
        <v>0</v>
      </c>
      <c r="S113" s="210">
        <f>ROUND(SUMIF('7.0'!$D:$D,T_BS!D113,'7.0'!$I:$I),0)</f>
        <v>0</v>
      </c>
      <c r="T113" s="210">
        <f>ROUND(SUMIF('8.0'!$D:$D,T_BS!D113,'8.0'!$H:$H),0)</f>
        <v>0</v>
      </c>
      <c r="U113" s="15">
        <f t="shared" si="29"/>
        <v>0</v>
      </c>
      <c r="W113" s="39">
        <f t="shared" si="30"/>
        <v>-4014718</v>
      </c>
      <c r="Y113" s="5"/>
      <c r="AB113" s="39">
        <v>-4014718</v>
      </c>
      <c r="AC113" s="710">
        <f t="shared" si="17"/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</row>
    <row r="114" spans="1:35" ht="18" customHeight="1">
      <c r="A114" s="5"/>
      <c r="D114" s="44" t="s">
        <v>1347</v>
      </c>
      <c r="E114" s="6" t="s">
        <v>5</v>
      </c>
      <c r="F114" s="40">
        <v>2419</v>
      </c>
      <c r="G114" s="6" t="s">
        <v>534</v>
      </c>
      <c r="H114" s="5">
        <v>102390000</v>
      </c>
      <c r="I114" s="211">
        <v>0</v>
      </c>
      <c r="J114" s="211">
        <v>0</v>
      </c>
      <c r="K114" s="15">
        <f t="shared" si="25"/>
        <v>102390000</v>
      </c>
      <c r="M114" s="676">
        <f>SUMIF('1.0'!$D:$D,T_BS!D114,'1.0'!$N:$N)</f>
        <v>0</v>
      </c>
      <c r="N114" s="211">
        <f>SUMIF('2.0'!$D:$D,T_BS!D114,'2.0'!$N:$N)</f>
        <v>0</v>
      </c>
      <c r="O114" s="7">
        <f>ROUND(SUMIF('3.0'!$D:$D,T_BS!D114,'3.0'!$H:$H),0)</f>
        <v>0</v>
      </c>
      <c r="P114" s="210">
        <f>ROUND(SUMIF('4.0'!$D:$D,T_BS!D114,'4.0'!$N:$N),0)</f>
        <v>0</v>
      </c>
      <c r="Q114" s="7">
        <f>ROUND(SUMIF('5.0'!$D:$D,T_BS!D114,'5.0'!$N:$N),0)</f>
        <v>0</v>
      </c>
      <c r="R114" s="210">
        <f>ROUND(SUMIF('6.0'!$D:$D,T_BS!D114,'6.0'!$N:$N),0)</f>
        <v>0</v>
      </c>
      <c r="S114" s="210">
        <f>ROUND(SUMIF('7.0'!$D:$D,T_BS!D114,'7.0'!$I:$I),0)</f>
        <v>0</v>
      </c>
      <c r="T114" s="210">
        <f>ROUND(SUMIF('8.0'!$D:$D,T_BS!D114,'8.0'!$H:$H),0)</f>
        <v>0</v>
      </c>
      <c r="U114" s="15">
        <f t="shared" si="26"/>
        <v>0</v>
      </c>
      <c r="W114" s="39">
        <f t="shared" si="27"/>
        <v>102390000</v>
      </c>
      <c r="Y114" s="5"/>
      <c r="AB114" s="39">
        <v>102390000</v>
      </c>
      <c r="AC114" s="710">
        <f t="shared" si="17"/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</row>
    <row r="115" spans="1:35" ht="18" customHeight="1">
      <c r="A115" s="5"/>
      <c r="D115" s="13"/>
      <c r="E115" s="34"/>
      <c r="F115" s="35"/>
      <c r="G115" s="34" t="s">
        <v>6</v>
      </c>
      <c r="H115" s="484">
        <f>SUM(H116:H139)</f>
        <v>14792784626</v>
      </c>
      <c r="I115" s="417">
        <f>SUM(I116:I139)</f>
        <v>0</v>
      </c>
      <c r="J115" s="417">
        <f>SUM(J116:J139)</f>
        <v>49202958</v>
      </c>
      <c r="K115" s="645">
        <f>SUM(K116:K139)</f>
        <v>14841987584</v>
      </c>
      <c r="M115" s="675">
        <f t="shared" ref="M115:U115" si="31">SUM(M116:M139)</f>
        <v>19842800</v>
      </c>
      <c r="N115" s="417">
        <f t="shared" si="31"/>
        <v>0</v>
      </c>
      <c r="O115" s="417">
        <f t="shared" si="31"/>
        <v>0</v>
      </c>
      <c r="P115" s="417">
        <f t="shared" si="31"/>
        <v>0</v>
      </c>
      <c r="Q115" s="417">
        <f t="shared" si="31"/>
        <v>1998694169</v>
      </c>
      <c r="R115" s="417">
        <f t="shared" si="31"/>
        <v>0</v>
      </c>
      <c r="S115" s="417">
        <f t="shared" si="31"/>
        <v>0</v>
      </c>
      <c r="T115" s="417">
        <f t="shared" si="31"/>
        <v>0</v>
      </c>
      <c r="U115" s="645">
        <f t="shared" si="31"/>
        <v>2018536969</v>
      </c>
      <c r="W115" s="36">
        <f>SUM(W116:W139)</f>
        <v>16860524553</v>
      </c>
      <c r="Y115" s="5"/>
      <c r="AB115" s="36">
        <v>16878773833</v>
      </c>
      <c r="AC115" s="710">
        <f t="shared" si="17"/>
        <v>-18249280</v>
      </c>
      <c r="AE115" s="5">
        <v>-18249280</v>
      </c>
      <c r="AF115" s="5">
        <v>0</v>
      </c>
      <c r="AG115" s="5">
        <v>0</v>
      </c>
      <c r="AH115" s="5">
        <v>0</v>
      </c>
      <c r="AI115" s="5">
        <v>-18249280</v>
      </c>
    </row>
    <row r="116" spans="1:35" ht="18" customHeight="1">
      <c r="A116" s="5"/>
      <c r="D116" s="14" t="s">
        <v>105</v>
      </c>
      <c r="E116" s="6" t="s">
        <v>6</v>
      </c>
      <c r="F116" s="40">
        <v>2501</v>
      </c>
      <c r="G116" s="6" t="s">
        <v>106</v>
      </c>
      <c r="H116" s="5">
        <v>582607415</v>
      </c>
      <c r="I116" s="211">
        <v>0</v>
      </c>
      <c r="J116" s="211">
        <v>0</v>
      </c>
      <c r="K116" s="15">
        <f t="shared" ref="K116:K139" si="32">SUM(H116:J116)</f>
        <v>582607415</v>
      </c>
      <c r="M116" s="676">
        <f>SUMIF('1.0'!$D:$D,T_BS!D116,'1.0'!$N:$N)</f>
        <v>0</v>
      </c>
      <c r="N116" s="211">
        <f>SUMIF('2.0'!$D:$D,T_BS!D116,'2.0'!$N:$N)</f>
        <v>0</v>
      </c>
      <c r="O116" s="7">
        <f>ROUND(SUMIF('3.0'!$D:$D,T_BS!D116,'3.0'!$H:$H),0)</f>
        <v>0</v>
      </c>
      <c r="P116" s="210">
        <f>ROUND(SUMIF('4.0'!$D:$D,T_BS!D116,'4.0'!$N:$N),0)</f>
        <v>0</v>
      </c>
      <c r="Q116" s="7">
        <f>ROUND(SUMIF('5.0'!$D:$D,T_BS!D116,'5.0'!$N:$N),0)</f>
        <v>0</v>
      </c>
      <c r="R116" s="210">
        <f>ROUND(SUMIF('6.0'!$D:$D,T_BS!D116,'6.0'!$N:$N),0)</f>
        <v>0</v>
      </c>
      <c r="S116" s="210">
        <f>ROUND(SUMIF('7.0'!$D:$D,T_BS!D116,'7.0'!$I:$I),0)</f>
        <v>0</v>
      </c>
      <c r="T116" s="210">
        <f>ROUND(SUMIF('8.0'!$D:$D,T_BS!D116,'8.0'!$H:$H),0)</f>
        <v>0</v>
      </c>
      <c r="U116" s="15">
        <f t="shared" ref="U116:U141" si="33">SUM(M116:T116)</f>
        <v>0</v>
      </c>
      <c r="W116" s="39">
        <f t="shared" si="27"/>
        <v>582607415</v>
      </c>
      <c r="Y116" s="5"/>
      <c r="AB116" s="39">
        <v>582607415</v>
      </c>
      <c r="AC116" s="710">
        <f t="shared" si="17"/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</row>
    <row r="117" spans="1:35" ht="18" customHeight="1">
      <c r="A117" s="5"/>
      <c r="D117" s="14" t="s">
        <v>107</v>
      </c>
      <c r="E117" s="6" t="s">
        <v>6</v>
      </c>
      <c r="F117" s="40">
        <v>2501</v>
      </c>
      <c r="G117" s="6" t="s">
        <v>108</v>
      </c>
      <c r="H117" s="5">
        <v>-481839721</v>
      </c>
      <c r="I117" s="211">
        <v>0</v>
      </c>
      <c r="J117" s="211">
        <v>0</v>
      </c>
      <c r="K117" s="15">
        <f t="shared" si="32"/>
        <v>-481839721</v>
      </c>
      <c r="M117" s="676">
        <f>SUMIF('1.0'!$D:$D,T_BS!D117,'1.0'!$N:$N)</f>
        <v>0</v>
      </c>
      <c r="N117" s="211">
        <f>SUMIF('2.0'!$D:$D,T_BS!D117,'2.0'!$N:$N)</f>
        <v>0</v>
      </c>
      <c r="O117" s="7">
        <f>ROUND(SUMIF('3.0'!$D:$D,T_BS!D117,'3.0'!$H:$H),0)</f>
        <v>0</v>
      </c>
      <c r="P117" s="210">
        <f>ROUND(SUMIF('4.0'!$D:$D,T_BS!D117,'4.0'!$N:$N),0)</f>
        <v>0</v>
      </c>
      <c r="Q117" s="7">
        <f>ROUND(SUMIF('5.0'!$D:$D,T_BS!D117,'5.0'!$N:$N),0)</f>
        <v>0</v>
      </c>
      <c r="R117" s="210">
        <f>ROUND(SUMIF('6.0'!$D:$D,T_BS!D117,'6.0'!$N:$N),0)</f>
        <v>0</v>
      </c>
      <c r="S117" s="210">
        <f>ROUND(SUMIF('7.0'!$D:$D,T_BS!D117,'7.0'!$I:$I),0)</f>
        <v>0</v>
      </c>
      <c r="T117" s="210">
        <f>ROUND(SUMIF('8.0'!$D:$D,T_BS!D117,'8.0'!$H:$H),0)</f>
        <v>0</v>
      </c>
      <c r="U117" s="15">
        <f t="shared" si="33"/>
        <v>0</v>
      </c>
      <c r="W117" s="39">
        <f t="shared" si="27"/>
        <v>-481839721</v>
      </c>
      <c r="Y117" s="5"/>
      <c r="AB117" s="39">
        <v>-481839721</v>
      </c>
      <c r="AC117" s="710">
        <f t="shared" si="17"/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</row>
    <row r="118" spans="1:35" ht="18" customHeight="1">
      <c r="A118" s="5"/>
      <c r="D118" s="14" t="s">
        <v>109</v>
      </c>
      <c r="E118" s="6" t="s">
        <v>6</v>
      </c>
      <c r="F118" s="40">
        <v>2503</v>
      </c>
      <c r="G118" s="6" t="s">
        <v>110</v>
      </c>
      <c r="H118" s="5">
        <v>12669072980</v>
      </c>
      <c r="I118" s="211">
        <v>0</v>
      </c>
      <c r="J118" s="211">
        <v>0</v>
      </c>
      <c r="K118" s="15">
        <f t="shared" si="32"/>
        <v>12669072980</v>
      </c>
      <c r="M118" s="676">
        <f>SUMIF('1.0'!$D:$D,T_BS!D118,'1.0'!$N:$N)</f>
        <v>0</v>
      </c>
      <c r="N118" s="211">
        <f>SUMIF('2.0'!$D:$D,T_BS!D118,'2.0'!$N:$N)</f>
        <v>0</v>
      </c>
      <c r="O118" s="7">
        <f>ROUND(SUMIF('3.0'!$D:$D,T_BS!D118,'3.0'!$H:$H),0)</f>
        <v>0</v>
      </c>
      <c r="P118" s="210">
        <f>ROUND(SUMIF('4.0'!$D:$D,T_BS!D118,'4.0'!$N:$N),0)</f>
        <v>0</v>
      </c>
      <c r="Q118" s="7">
        <f>ROUND(SUMIF('5.0'!$D:$D,T_BS!D118,'5.0'!$N:$N),0)</f>
        <v>0</v>
      </c>
      <c r="R118" s="210">
        <f>ROUND(SUMIF('6.0'!$D:$D,T_BS!D118,'6.0'!$N:$N),0)</f>
        <v>0</v>
      </c>
      <c r="S118" s="210">
        <f>ROUND(SUMIF('7.0'!$D:$D,T_BS!D118,'7.0'!$I:$I),0)</f>
        <v>0</v>
      </c>
      <c r="T118" s="210">
        <f>ROUND(SUMIF('8.0'!$D:$D,T_BS!D118,'8.0'!$H:$H),0)</f>
        <v>0</v>
      </c>
      <c r="U118" s="15">
        <f t="shared" si="33"/>
        <v>0</v>
      </c>
      <c r="W118" s="39">
        <f t="shared" si="27"/>
        <v>12669072980</v>
      </c>
      <c r="Y118" s="5"/>
      <c r="AB118" s="39">
        <v>12687322260</v>
      </c>
      <c r="AC118" s="710">
        <f t="shared" si="17"/>
        <v>-18249280</v>
      </c>
      <c r="AE118" s="5">
        <v>-18249280</v>
      </c>
      <c r="AF118" s="5">
        <v>0</v>
      </c>
      <c r="AG118" s="5">
        <v>0</v>
      </c>
      <c r="AH118" s="5">
        <v>0</v>
      </c>
      <c r="AI118" s="5">
        <v>-18249280</v>
      </c>
    </row>
    <row r="119" spans="1:35" ht="18" customHeight="1">
      <c r="A119" s="5"/>
      <c r="D119" s="14" t="s">
        <v>111</v>
      </c>
      <c r="E119" s="6" t="s">
        <v>6</v>
      </c>
      <c r="F119" s="40">
        <v>2503</v>
      </c>
      <c r="G119" s="6" t="s">
        <v>112</v>
      </c>
      <c r="H119" s="5">
        <v>-9006282343</v>
      </c>
      <c r="I119" s="211">
        <v>0</v>
      </c>
      <c r="J119" s="211">
        <v>0</v>
      </c>
      <c r="K119" s="15">
        <f t="shared" si="32"/>
        <v>-9006282343</v>
      </c>
      <c r="M119" s="676">
        <f>SUMIF('1.0'!$D:$D,T_BS!D119,'1.0'!$N:$N)</f>
        <v>0</v>
      </c>
      <c r="N119" s="211">
        <f>SUMIF('2.0'!$D:$D,T_BS!D119,'2.0'!$N:$N)</f>
        <v>0</v>
      </c>
      <c r="O119" s="7">
        <f>ROUND(SUMIF('3.0'!$D:$D,T_BS!D119,'3.0'!$H:$H),0)</f>
        <v>0</v>
      </c>
      <c r="P119" s="210">
        <f>ROUND(SUMIF('4.0'!$D:$D,T_BS!D119,'4.0'!$N:$N),0)</f>
        <v>0</v>
      </c>
      <c r="Q119" s="7">
        <f>ROUND(SUMIF('5.0'!$D:$D,T_BS!D119,'5.0'!$N:$N),0)</f>
        <v>0</v>
      </c>
      <c r="R119" s="210">
        <f>ROUND(SUMIF('6.0'!$D:$D,T_BS!D119,'6.0'!$N:$N),0)</f>
        <v>0</v>
      </c>
      <c r="S119" s="210">
        <f>ROUND(SUMIF('7.0'!$D:$D,T_BS!D119,'7.0'!$I:$I),0)</f>
        <v>0</v>
      </c>
      <c r="T119" s="210">
        <f>ROUND(SUMIF('8.0'!$D:$D,T_BS!D119,'8.0'!$H:$H),0)</f>
        <v>0</v>
      </c>
      <c r="U119" s="15">
        <f t="shared" si="33"/>
        <v>0</v>
      </c>
      <c r="W119" s="39">
        <f t="shared" si="27"/>
        <v>-9006282343</v>
      </c>
      <c r="Y119" s="5"/>
      <c r="AB119" s="39">
        <v>-9006282343</v>
      </c>
      <c r="AC119" s="710">
        <f t="shared" si="17"/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</row>
    <row r="120" spans="1:35" ht="18" customHeight="1">
      <c r="A120" s="5"/>
      <c r="D120" s="14" t="s">
        <v>113</v>
      </c>
      <c r="E120" s="6" t="s">
        <v>6</v>
      </c>
      <c r="F120" s="40">
        <v>2503</v>
      </c>
      <c r="G120" s="6" t="s">
        <v>114</v>
      </c>
      <c r="H120" s="5">
        <v>-2614667381</v>
      </c>
      <c r="I120" s="211">
        <v>0</v>
      </c>
      <c r="J120" s="211">
        <v>0</v>
      </c>
      <c r="K120" s="15">
        <f t="shared" si="32"/>
        <v>-2614667381</v>
      </c>
      <c r="M120" s="676">
        <f>SUMIF('1.0'!$D:$D,T_BS!D120,'1.0'!$N:$N)</f>
        <v>0</v>
      </c>
      <c r="N120" s="211">
        <f>SUMIF('2.0'!$D:$D,T_BS!D120,'2.0'!$N:$N)</f>
        <v>0</v>
      </c>
      <c r="O120" s="7">
        <f>ROUND(SUMIF('3.0'!$D:$D,T_BS!D120,'3.0'!$H:$H),0)</f>
        <v>0</v>
      </c>
      <c r="P120" s="210">
        <f>ROUND(SUMIF('4.0'!$D:$D,T_BS!D120,'4.0'!$N:$N),0)</f>
        <v>0</v>
      </c>
      <c r="Q120" s="7">
        <f>ROUND(SUMIF('5.0'!$D:$D,T_BS!D120,'5.0'!$N:$N),0)</f>
        <v>0</v>
      </c>
      <c r="R120" s="210">
        <f>ROUND(SUMIF('6.0'!$D:$D,T_BS!D120,'6.0'!$N:$N),0)</f>
        <v>0</v>
      </c>
      <c r="S120" s="210">
        <f>ROUND(SUMIF('7.0'!$D:$D,T_BS!D120,'7.0'!$I:$I),0)</f>
        <v>0</v>
      </c>
      <c r="T120" s="210">
        <f>ROUND(SUMIF('8.0'!$D:$D,T_BS!D120,'8.0'!$H:$H),0)</f>
        <v>0</v>
      </c>
      <c r="U120" s="15">
        <f t="shared" si="33"/>
        <v>0</v>
      </c>
      <c r="W120" s="39">
        <f t="shared" si="27"/>
        <v>-2614667381</v>
      </c>
      <c r="Y120" s="5"/>
      <c r="AB120" s="39">
        <v>-2614667381</v>
      </c>
      <c r="AC120" s="710">
        <f t="shared" si="17"/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</row>
    <row r="121" spans="1:35" ht="18" customHeight="1">
      <c r="A121" s="5"/>
      <c r="D121" s="14">
        <v>125300</v>
      </c>
      <c r="E121" s="6" t="s">
        <v>6</v>
      </c>
      <c r="F121" s="40">
        <v>2501</v>
      </c>
      <c r="G121" s="6" t="s">
        <v>115</v>
      </c>
      <c r="H121" s="5">
        <v>363487743</v>
      </c>
      <c r="I121" s="211">
        <v>0</v>
      </c>
      <c r="J121" s="211">
        <v>0</v>
      </c>
      <c r="K121" s="15">
        <f t="shared" si="32"/>
        <v>363487743</v>
      </c>
      <c r="M121" s="676">
        <f>SUMIF('1.0'!$D:$D,T_BS!D121,'1.0'!$N:$N)</f>
        <v>0</v>
      </c>
      <c r="N121" s="211">
        <f>SUMIF('2.0'!$D:$D,T_BS!D121,'2.0'!$N:$N)</f>
        <v>0</v>
      </c>
      <c r="O121" s="7">
        <f>ROUND(SUMIF('3.0'!$D:$D,T_BS!D121,'3.0'!$H:$H),0)</f>
        <v>0</v>
      </c>
      <c r="P121" s="210">
        <f>ROUND(SUMIF('4.0'!$D:$D,T_BS!D121,'4.0'!$N:$N),0)</f>
        <v>0</v>
      </c>
      <c r="Q121" s="7">
        <f>ROUND(SUMIF('5.0'!$D:$D,T_BS!D121,'5.0'!$N:$N),0)</f>
        <v>0</v>
      </c>
      <c r="R121" s="210">
        <f>ROUND(SUMIF('6.0'!$D:$D,T_BS!D121,'6.0'!$N:$N),0)</f>
        <v>0</v>
      </c>
      <c r="S121" s="210">
        <f>ROUND(SUMIF('7.0'!$D:$D,T_BS!D121,'7.0'!$I:$I),0)</f>
        <v>0</v>
      </c>
      <c r="T121" s="210">
        <f>ROUND(SUMIF('8.0'!$D:$D,T_BS!D121,'8.0'!$H:$H),0)</f>
        <v>0</v>
      </c>
      <c r="U121" s="15">
        <f t="shared" si="33"/>
        <v>0</v>
      </c>
      <c r="W121" s="39">
        <f t="shared" si="27"/>
        <v>363487743</v>
      </c>
      <c r="Y121" s="5"/>
      <c r="AB121" s="39">
        <v>363487743</v>
      </c>
      <c r="AC121" s="710">
        <f t="shared" si="17"/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 ht="18" customHeight="1">
      <c r="A122" s="5"/>
      <c r="D122" s="14">
        <v>125400</v>
      </c>
      <c r="E122" s="6" t="s">
        <v>6</v>
      </c>
      <c r="F122" s="40">
        <v>2501</v>
      </c>
      <c r="G122" s="6" t="s">
        <v>116</v>
      </c>
      <c r="H122" s="5">
        <v>432749858</v>
      </c>
      <c r="I122" s="211">
        <v>0</v>
      </c>
      <c r="J122" s="211">
        <v>0</v>
      </c>
      <c r="K122" s="15">
        <f t="shared" si="32"/>
        <v>432749858</v>
      </c>
      <c r="M122" s="676">
        <f>SUMIF('1.0'!$D:$D,T_BS!D122,'1.0'!$N:$N)</f>
        <v>0</v>
      </c>
      <c r="N122" s="211">
        <f>SUMIF('2.0'!$D:$D,T_BS!D122,'2.0'!$N:$N)</f>
        <v>0</v>
      </c>
      <c r="O122" s="7">
        <f>ROUND(SUMIF('3.0'!$D:$D,T_BS!D122,'3.0'!$H:$H),0)</f>
        <v>0</v>
      </c>
      <c r="P122" s="210">
        <f>ROUND(SUMIF('4.0'!$D:$D,T_BS!D122,'4.0'!$N:$N),0)</f>
        <v>0</v>
      </c>
      <c r="Q122" s="7">
        <f>ROUND(SUMIF('5.0'!$D:$D,T_BS!D122,'5.0'!$N:$N),0)</f>
        <v>0</v>
      </c>
      <c r="R122" s="210">
        <f>ROUND(SUMIF('6.0'!$D:$D,T_BS!D122,'6.0'!$N:$N),0)</f>
        <v>0</v>
      </c>
      <c r="S122" s="210">
        <f>ROUND(SUMIF('7.0'!$D:$D,T_BS!D122,'7.0'!$I:$I),0)</f>
        <v>0</v>
      </c>
      <c r="T122" s="210">
        <f>ROUND(SUMIF('8.0'!$D:$D,T_BS!D122,'8.0'!$H:$H),0)</f>
        <v>0</v>
      </c>
      <c r="U122" s="15">
        <f t="shared" si="33"/>
        <v>0</v>
      </c>
      <c r="W122" s="39">
        <f t="shared" si="27"/>
        <v>432749858</v>
      </c>
      <c r="Y122" s="5"/>
      <c r="AB122" s="39">
        <v>432749858</v>
      </c>
      <c r="AC122" s="710">
        <f t="shared" si="17"/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 ht="18" customHeight="1">
      <c r="A123" s="5"/>
      <c r="D123" s="14" t="s">
        <v>117</v>
      </c>
      <c r="E123" s="6" t="s">
        <v>6</v>
      </c>
      <c r="F123" s="40">
        <v>2501</v>
      </c>
      <c r="G123" s="6" t="s">
        <v>118</v>
      </c>
      <c r="H123" s="5">
        <v>10801432</v>
      </c>
      <c r="I123" s="211">
        <v>0</v>
      </c>
      <c r="J123" s="211">
        <v>0</v>
      </c>
      <c r="K123" s="15">
        <f t="shared" si="32"/>
        <v>10801432</v>
      </c>
      <c r="M123" s="676">
        <f>SUMIF('1.0'!$D:$D,T_BS!D123,'1.0'!$N:$N)</f>
        <v>0</v>
      </c>
      <c r="N123" s="211">
        <f>SUMIF('2.0'!$D:$D,T_BS!D123,'2.0'!$N:$N)</f>
        <v>0</v>
      </c>
      <c r="O123" s="7">
        <f>ROUND(SUMIF('3.0'!$D:$D,T_BS!D123,'3.0'!$H:$H),0)</f>
        <v>0</v>
      </c>
      <c r="P123" s="210">
        <f>ROUND(SUMIF('4.0'!$D:$D,T_BS!D123,'4.0'!$N:$N),0)</f>
        <v>0</v>
      </c>
      <c r="Q123" s="7">
        <f>ROUND(SUMIF('5.0'!$D:$D,T_BS!D123,'5.0'!$N:$N),0)</f>
        <v>0</v>
      </c>
      <c r="R123" s="210">
        <f>ROUND(SUMIF('6.0'!$D:$D,T_BS!D123,'6.0'!$N:$N),0)</f>
        <v>0</v>
      </c>
      <c r="S123" s="210">
        <f>ROUND(SUMIF('7.0'!$D:$D,T_BS!D123,'7.0'!$I:$I),0)</f>
        <v>0</v>
      </c>
      <c r="T123" s="210">
        <f>ROUND(SUMIF('8.0'!$D:$D,T_BS!D123,'8.0'!$H:$H),0)</f>
        <v>0</v>
      </c>
      <c r="U123" s="15">
        <f t="shared" si="33"/>
        <v>0</v>
      </c>
      <c r="W123" s="39">
        <f t="shared" si="27"/>
        <v>10801432</v>
      </c>
      <c r="Y123" s="5"/>
      <c r="AB123" s="39">
        <v>10801432</v>
      </c>
      <c r="AC123" s="710">
        <f t="shared" si="17"/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 ht="18" customHeight="1">
      <c r="A124" s="5"/>
      <c r="D124" s="14" t="s">
        <v>119</v>
      </c>
      <c r="E124" s="6" t="s">
        <v>6</v>
      </c>
      <c r="F124" s="40">
        <v>2501</v>
      </c>
      <c r="G124" s="6" t="s">
        <v>120</v>
      </c>
      <c r="H124" s="5">
        <v>-225883068</v>
      </c>
      <c r="I124" s="211">
        <v>0</v>
      </c>
      <c r="J124" s="211">
        <v>0</v>
      </c>
      <c r="K124" s="15">
        <f t="shared" si="32"/>
        <v>-225883068</v>
      </c>
      <c r="M124" s="676">
        <f>SUMIF('1.0'!$D:$D,T_BS!D124,'1.0'!$N:$N)</f>
        <v>0</v>
      </c>
      <c r="N124" s="211">
        <f>SUMIF('2.0'!$D:$D,T_BS!D124,'2.0'!$N:$N)</f>
        <v>0</v>
      </c>
      <c r="O124" s="7">
        <f>ROUND(SUMIF('3.0'!$D:$D,T_BS!D124,'3.0'!$H:$H),0)</f>
        <v>0</v>
      </c>
      <c r="P124" s="210">
        <f>ROUND(SUMIF('4.0'!$D:$D,T_BS!D124,'4.0'!$N:$N),0)</f>
        <v>0</v>
      </c>
      <c r="Q124" s="7">
        <f>ROUND(SUMIF('5.0'!$D:$D,T_BS!D124,'5.0'!$N:$N),0)</f>
        <v>0</v>
      </c>
      <c r="R124" s="210">
        <f>ROUND(SUMIF('6.0'!$D:$D,T_BS!D124,'6.0'!$N:$N),0)</f>
        <v>0</v>
      </c>
      <c r="S124" s="210">
        <f>ROUND(SUMIF('7.0'!$D:$D,T_BS!D124,'7.0'!$I:$I),0)</f>
        <v>0</v>
      </c>
      <c r="T124" s="210">
        <f>ROUND(SUMIF('8.0'!$D:$D,T_BS!D124,'8.0'!$H:$H),0)</f>
        <v>0</v>
      </c>
      <c r="U124" s="15">
        <f t="shared" si="33"/>
        <v>0</v>
      </c>
      <c r="W124" s="39">
        <f t="shared" si="27"/>
        <v>-225883068</v>
      </c>
      <c r="Y124" s="5"/>
      <c r="AB124" s="39">
        <v>-225883068</v>
      </c>
      <c r="AC124" s="710">
        <f t="shared" si="17"/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 ht="18" customHeight="1">
      <c r="A125" s="5"/>
      <c r="D125" s="14" t="s">
        <v>121</v>
      </c>
      <c r="E125" s="6" t="s">
        <v>6</v>
      </c>
      <c r="F125" s="40">
        <v>2501</v>
      </c>
      <c r="G125" s="6" t="s">
        <v>122</v>
      </c>
      <c r="H125" s="5">
        <v>-10798432</v>
      </c>
      <c r="I125" s="211">
        <v>0</v>
      </c>
      <c r="J125" s="211">
        <v>0</v>
      </c>
      <c r="K125" s="15">
        <f t="shared" si="32"/>
        <v>-10798432</v>
      </c>
      <c r="M125" s="676">
        <f>SUMIF('1.0'!$D:$D,T_BS!D125,'1.0'!$N:$N)</f>
        <v>0</v>
      </c>
      <c r="N125" s="211">
        <f>SUMIF('2.0'!$D:$D,T_BS!D125,'2.0'!$N:$N)</f>
        <v>0</v>
      </c>
      <c r="O125" s="7">
        <f>ROUND(SUMIF('3.0'!$D:$D,T_BS!D125,'3.0'!$H:$H),0)</f>
        <v>0</v>
      </c>
      <c r="P125" s="210">
        <f>ROUND(SUMIF('4.0'!$D:$D,T_BS!D125,'4.0'!$N:$N),0)</f>
        <v>0</v>
      </c>
      <c r="Q125" s="7">
        <f>ROUND(SUMIF('5.0'!$D:$D,T_BS!D125,'5.0'!$N:$N),0)</f>
        <v>0</v>
      </c>
      <c r="R125" s="210">
        <f>ROUND(SUMIF('6.0'!$D:$D,T_BS!D125,'6.0'!$N:$N),0)</f>
        <v>0</v>
      </c>
      <c r="S125" s="210">
        <f>ROUND(SUMIF('7.0'!$D:$D,T_BS!D125,'7.0'!$I:$I),0)</f>
        <v>0</v>
      </c>
      <c r="T125" s="210">
        <f>ROUND(SUMIF('8.0'!$D:$D,T_BS!D125,'8.0'!$H:$H),0)</f>
        <v>0</v>
      </c>
      <c r="U125" s="15">
        <f t="shared" si="33"/>
        <v>0</v>
      </c>
      <c r="W125" s="39">
        <f t="shared" si="27"/>
        <v>-10798432</v>
      </c>
      <c r="Y125" s="5"/>
      <c r="AB125" s="39">
        <v>-10798432</v>
      </c>
      <c r="AC125" s="710">
        <f t="shared" si="17"/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 ht="18" customHeight="1">
      <c r="A126" s="5"/>
      <c r="D126" s="14">
        <v>125900</v>
      </c>
      <c r="E126" s="6" t="s">
        <v>6</v>
      </c>
      <c r="F126" s="40">
        <v>2505</v>
      </c>
      <c r="G126" s="6" t="s">
        <v>123</v>
      </c>
      <c r="H126" s="5">
        <v>13001339693</v>
      </c>
      <c r="I126" s="211">
        <v>0</v>
      </c>
      <c r="J126" s="211">
        <v>78851279</v>
      </c>
      <c r="K126" s="15">
        <f t="shared" si="32"/>
        <v>13080190972</v>
      </c>
      <c r="M126" s="676">
        <f>SUMIF('1.0'!$D:$D,T_BS!D126,'1.0'!$N:$N)</f>
        <v>0</v>
      </c>
      <c r="N126" s="211">
        <f>SUMIF('2.0'!$D:$D,T_BS!D126,'2.0'!$N:$N)</f>
        <v>0</v>
      </c>
      <c r="O126" s="7">
        <f>ROUND(SUMIF('3.0'!$D:$D,T_BS!D126,'3.0'!$H:$H),0)</f>
        <v>0</v>
      </c>
      <c r="P126" s="210">
        <f>ROUND(SUMIF('4.0'!$D:$D,T_BS!D126,'4.0'!$N:$N),0)</f>
        <v>0</v>
      </c>
      <c r="Q126" s="7">
        <f>ROUND(SUMIF('5.0'!$D:$D,T_BS!D126,'5.0'!$N:$N),0)</f>
        <v>0</v>
      </c>
      <c r="R126" s="210">
        <f>ROUND(SUMIF('6.0'!$D:$D,T_BS!D126,'6.0'!$N:$N),0)</f>
        <v>0</v>
      </c>
      <c r="S126" s="210">
        <f>ROUND(SUMIF('7.0'!$D:$D,T_BS!D126,'7.0'!$I:$I),0)</f>
        <v>0</v>
      </c>
      <c r="T126" s="210">
        <f>ROUND(SUMIF('8.0'!$D:$D,T_BS!D126,'8.0'!$H:$H),0)</f>
        <v>0</v>
      </c>
      <c r="U126" s="15">
        <f t="shared" si="33"/>
        <v>0</v>
      </c>
      <c r="W126" s="39">
        <f t="shared" si="27"/>
        <v>13080190972</v>
      </c>
      <c r="Y126" s="5"/>
      <c r="AB126" s="39">
        <v>13080190972</v>
      </c>
      <c r="AC126" s="710">
        <f t="shared" si="17"/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 ht="18" customHeight="1">
      <c r="A127" s="5"/>
      <c r="D127" s="14" t="s">
        <v>126</v>
      </c>
      <c r="E127" s="6" t="s">
        <v>6</v>
      </c>
      <c r="F127" s="40">
        <v>2505</v>
      </c>
      <c r="G127" s="6" t="s">
        <v>127</v>
      </c>
      <c r="H127" s="5">
        <v>-4383214921</v>
      </c>
      <c r="I127" s="211">
        <v>0</v>
      </c>
      <c r="J127" s="211">
        <v>-29648321</v>
      </c>
      <c r="K127" s="15">
        <f t="shared" si="32"/>
        <v>-4412863242</v>
      </c>
      <c r="M127" s="676">
        <f>SUMIF('1.0'!$D:$D,T_BS!D127,'1.0'!$N:$N)</f>
        <v>0</v>
      </c>
      <c r="N127" s="211">
        <f>SUMIF('2.0'!$D:$D,T_BS!D127,'2.0'!$N:$N)</f>
        <v>0</v>
      </c>
      <c r="O127" s="7">
        <f>ROUND(SUMIF('3.0'!$D:$D,T_BS!D127,'3.0'!$H:$H),0)</f>
        <v>0</v>
      </c>
      <c r="P127" s="210">
        <f>ROUND(SUMIF('4.0'!$D:$D,T_BS!D127,'4.0'!$N:$N),0)</f>
        <v>0</v>
      </c>
      <c r="Q127" s="7">
        <f>ROUND(SUMIF('5.0'!$D:$D,T_BS!D127,'5.0'!$N:$N),0)</f>
        <v>0</v>
      </c>
      <c r="R127" s="210">
        <f>ROUND(SUMIF('6.0'!$D:$D,T_BS!D127,'6.0'!$N:$N),0)</f>
        <v>0</v>
      </c>
      <c r="S127" s="210">
        <f>ROUND(SUMIF('7.0'!$D:$D,T_BS!D127,'7.0'!$I:$I),0)</f>
        <v>0</v>
      </c>
      <c r="T127" s="210">
        <f>ROUND(SUMIF('8.0'!$D:$D,T_BS!D127,'8.0'!$H:$H),0)</f>
        <v>0</v>
      </c>
      <c r="U127" s="15">
        <f t="shared" si="33"/>
        <v>0</v>
      </c>
      <c r="W127" s="39">
        <f t="shared" si="27"/>
        <v>-4412863242</v>
      </c>
      <c r="Y127" s="5"/>
      <c r="AB127" s="39">
        <v>-4412863242</v>
      </c>
      <c r="AC127" s="710">
        <f t="shared" si="17"/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 ht="18" customHeight="1">
      <c r="A128" s="5"/>
      <c r="D128" s="14" t="s">
        <v>124</v>
      </c>
      <c r="E128" s="6" t="s">
        <v>6</v>
      </c>
      <c r="F128" s="40">
        <v>2505</v>
      </c>
      <c r="G128" s="6" t="s">
        <v>125</v>
      </c>
      <c r="H128" s="5">
        <v>-5190041486</v>
      </c>
      <c r="I128" s="211">
        <v>0</v>
      </c>
      <c r="J128" s="211">
        <v>0</v>
      </c>
      <c r="K128" s="15">
        <f t="shared" si="32"/>
        <v>-5190041486</v>
      </c>
      <c r="M128" s="676">
        <f>SUMIF('1.0'!$D:$D,T_BS!D128,'1.0'!$N:$N)</f>
        <v>0</v>
      </c>
      <c r="N128" s="211">
        <f>SUMIF('2.0'!$D:$D,T_BS!D128,'2.0'!$N:$N)</f>
        <v>0</v>
      </c>
      <c r="O128" s="7">
        <f>ROUND(SUMIF('3.0'!$D:$D,T_BS!D128,'3.0'!$H:$H),0)</f>
        <v>0</v>
      </c>
      <c r="P128" s="210">
        <f>ROUND(SUMIF('4.0'!$D:$D,T_BS!D128,'4.0'!$N:$N),0)</f>
        <v>0</v>
      </c>
      <c r="Q128" s="7">
        <f>ROUND(SUMIF('5.0'!$D:$D,T_BS!D128,'5.0'!$N:$N),0)</f>
        <v>0</v>
      </c>
      <c r="R128" s="210">
        <f>ROUND(SUMIF('6.0'!$D:$D,T_BS!D128,'6.0'!$N:$N),0)</f>
        <v>0</v>
      </c>
      <c r="S128" s="210">
        <f>ROUND(SUMIF('7.0'!$D:$D,T_BS!D128,'7.0'!$I:$I),0)</f>
        <v>0</v>
      </c>
      <c r="T128" s="210">
        <f>ROUND(SUMIF('8.0'!$D:$D,T_BS!D128,'8.0'!$H:$H),0)</f>
        <v>0</v>
      </c>
      <c r="U128" s="15">
        <f t="shared" si="33"/>
        <v>0</v>
      </c>
      <c r="W128" s="39">
        <f t="shared" si="27"/>
        <v>-5190041486</v>
      </c>
      <c r="Y128" s="5"/>
      <c r="AB128" s="39">
        <v>-5190041486</v>
      </c>
      <c r="AC128" s="710">
        <f t="shared" si="17"/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 ht="18" customHeight="1">
      <c r="A129" s="5"/>
      <c r="D129" s="14">
        <v>121711</v>
      </c>
      <c r="E129" s="6" t="s">
        <v>6</v>
      </c>
      <c r="F129" s="708">
        <v>2509</v>
      </c>
      <c r="G129" s="6" t="s">
        <v>2025</v>
      </c>
      <c r="H129" s="5">
        <v>462235490</v>
      </c>
      <c r="I129" s="211">
        <v>0</v>
      </c>
      <c r="J129" s="211">
        <v>0</v>
      </c>
      <c r="K129" s="15">
        <f>SUM(H129:J129)</f>
        <v>462235490</v>
      </c>
      <c r="M129" s="676">
        <f>SUMIF('1.0'!$D:$D,T_BS!D129,'1.0'!$N:$N)</f>
        <v>0</v>
      </c>
      <c r="N129" s="211">
        <f>SUMIF('2.0'!$D:$D,T_BS!D129,'2.0'!$N:$N)</f>
        <v>0</v>
      </c>
      <c r="O129" s="7">
        <f>ROUND(SUMIF('3.0'!$D:$D,T_BS!D129,'3.0'!$H:$H),0)</f>
        <v>0</v>
      </c>
      <c r="P129" s="210">
        <f>ROUND(SUMIF('4.0'!$D:$D,T_BS!D129,'4.0'!$N:$N),0)</f>
        <v>0</v>
      </c>
      <c r="Q129" s="7">
        <f>ROUND(SUMIF('5.0'!$D:$D,T_BS!D129,'5.0'!$N:$N),0)</f>
        <v>0</v>
      </c>
      <c r="R129" s="210">
        <f>ROUND(SUMIF('6.0'!$D:$D,T_BS!D129,'6.0'!$N:$N),0)</f>
        <v>0</v>
      </c>
      <c r="S129" s="210">
        <f>ROUND(SUMIF('7.0'!$D:$D,T_BS!D129,'7.0'!$I:$I),0)</f>
        <v>0</v>
      </c>
      <c r="T129" s="210">
        <f>ROUND(SUMIF('8.0'!$D:$D,T_BS!D129,'8.0'!$H:$H),0)</f>
        <v>0</v>
      </c>
      <c r="U129" s="15">
        <f t="shared" si="33"/>
        <v>0</v>
      </c>
      <c r="V129" s="386"/>
      <c r="W129" s="39">
        <f>U129+K129</f>
        <v>462235490</v>
      </c>
      <c r="Y129" s="5"/>
      <c r="AB129" s="39">
        <v>462235490</v>
      </c>
      <c r="AC129" s="710">
        <f t="shared" si="17"/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 ht="18" customHeight="1">
      <c r="A130" s="5"/>
      <c r="D130" s="14" t="s">
        <v>128</v>
      </c>
      <c r="E130" s="6" t="s">
        <v>6</v>
      </c>
      <c r="F130" s="40">
        <v>2508</v>
      </c>
      <c r="G130" s="6" t="s">
        <v>129</v>
      </c>
      <c r="H130" s="5">
        <v>17757739327</v>
      </c>
      <c r="I130" s="211">
        <v>0</v>
      </c>
      <c r="J130" s="211">
        <v>0</v>
      </c>
      <c r="K130" s="15">
        <f t="shared" si="32"/>
        <v>17757739327</v>
      </c>
      <c r="M130" s="676">
        <f>SUMIF('1.0'!$D:$D,T_BS!D130,'1.0'!$N:$N)</f>
        <v>19842800</v>
      </c>
      <c r="N130" s="211">
        <f>SUMIF('2.0'!$D:$D,T_BS!D130,'2.0'!$N:$N)</f>
        <v>0</v>
      </c>
      <c r="O130" s="7">
        <f>ROUND(SUMIF('3.0'!$D:$D,T_BS!D130,'3.0'!$H:$H),0)</f>
        <v>0</v>
      </c>
      <c r="P130" s="210">
        <f>ROUND(SUMIF('4.0'!$D:$D,T_BS!D130,'4.0'!$N:$N),0)</f>
        <v>0</v>
      </c>
      <c r="Q130" s="7">
        <f>ROUND(SUMIF('5.0'!$D:$D,T_BS!D130,'5.0'!$N:$N),0)</f>
        <v>22711136612</v>
      </c>
      <c r="R130" s="210">
        <f>ROUND(SUMIF('6.0'!$D:$D,T_BS!D130,'6.0'!$N:$N),0)</f>
        <v>0</v>
      </c>
      <c r="S130" s="210">
        <f>ROUND(SUMIF('7.0'!$D:$D,T_BS!D130,'7.0'!$I:$I),0)</f>
        <v>0</v>
      </c>
      <c r="T130" s="210">
        <f>ROUND(SUMIF('8.0'!$D:$D,T_BS!D130,'8.0'!$H:$H),0)</f>
        <v>0</v>
      </c>
      <c r="U130" s="15">
        <f t="shared" si="33"/>
        <v>22730979412</v>
      </c>
      <c r="V130" s="5"/>
      <c r="W130" s="39">
        <f t="shared" si="27"/>
        <v>40488718739</v>
      </c>
      <c r="X130" s="5"/>
      <c r="Y130" s="5"/>
      <c r="AB130" s="39">
        <v>40488718739</v>
      </c>
      <c r="AC130" s="710">
        <f t="shared" si="17"/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 ht="18" customHeight="1">
      <c r="A131" s="5"/>
      <c r="D131" s="14" t="s">
        <v>130</v>
      </c>
      <c r="E131" s="6" t="s">
        <v>6</v>
      </c>
      <c r="F131" s="40">
        <v>2508</v>
      </c>
      <c r="G131" s="6" t="s">
        <v>131</v>
      </c>
      <c r="H131" s="5">
        <v>-13660746110</v>
      </c>
      <c r="I131" s="211">
        <v>0</v>
      </c>
      <c r="J131" s="211">
        <v>0</v>
      </c>
      <c r="K131" s="15">
        <f t="shared" si="32"/>
        <v>-13660746110</v>
      </c>
      <c r="M131" s="676">
        <f>SUMIF('1.0'!$D:$D,T_BS!D131,'1.0'!$N:$N)</f>
        <v>0</v>
      </c>
      <c r="N131" s="211">
        <f>SUMIF('2.0'!$D:$D,T_BS!D131,'2.0'!$N:$N)</f>
        <v>0</v>
      </c>
      <c r="O131" s="7">
        <f>ROUND(SUMIF('3.0'!$D:$D,T_BS!D131,'3.0'!$H:$H),0)</f>
        <v>0</v>
      </c>
      <c r="P131" s="210">
        <f>ROUND(SUMIF('4.0'!$D:$D,T_BS!D131,'4.0'!$N:$N),0)</f>
        <v>0</v>
      </c>
      <c r="Q131" s="7">
        <f>ROUND(SUMIF('5.0'!$D:$D,T_BS!D131,'5.0'!$N:$N),0)</f>
        <v>-20712442443</v>
      </c>
      <c r="R131" s="210">
        <f>ROUND(SUMIF('6.0'!$D:$D,T_BS!D131,'6.0'!$N:$N),0)</f>
        <v>0</v>
      </c>
      <c r="S131" s="210">
        <f>ROUND(SUMIF('7.0'!$D:$D,T_BS!D131,'7.0'!$I:$I),0)</f>
        <v>0</v>
      </c>
      <c r="T131" s="210">
        <f>ROUND(SUMIF('8.0'!$D:$D,T_BS!D131,'8.0'!$H:$H),0)</f>
        <v>0</v>
      </c>
      <c r="U131" s="15">
        <f t="shared" si="33"/>
        <v>-20712442443</v>
      </c>
      <c r="W131" s="39">
        <f t="shared" si="27"/>
        <v>-34373188553</v>
      </c>
      <c r="Y131" s="5"/>
      <c r="AB131" s="39">
        <v>-34373188553</v>
      </c>
      <c r="AC131" s="710">
        <f t="shared" si="17"/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 ht="18" customHeight="1">
      <c r="A132" s="5"/>
      <c r="D132" s="14">
        <v>125950</v>
      </c>
      <c r="E132" s="6" t="s">
        <v>6</v>
      </c>
      <c r="F132" s="40">
        <v>2507</v>
      </c>
      <c r="G132" s="6" t="s">
        <v>132</v>
      </c>
      <c r="H132" s="5">
        <v>15600000000</v>
      </c>
      <c r="I132" s="211">
        <v>0</v>
      </c>
      <c r="J132" s="211">
        <v>0</v>
      </c>
      <c r="K132" s="15">
        <f t="shared" si="32"/>
        <v>15600000000</v>
      </c>
      <c r="M132" s="676">
        <f>SUMIF('1.0'!$D:$D,T_BS!D132,'1.0'!$N:$N)</f>
        <v>0</v>
      </c>
      <c r="N132" s="211">
        <f>SUMIF('2.0'!$D:$D,T_BS!D132,'2.0'!$N:$N)</f>
        <v>0</v>
      </c>
      <c r="O132" s="7">
        <f>ROUND(SUMIF('3.0'!$D:$D,T_BS!D132,'3.0'!$H:$H),0)</f>
        <v>0</v>
      </c>
      <c r="P132" s="210">
        <f>ROUND(SUMIF('4.0'!$D:$D,T_BS!D132,'4.0'!$N:$N),0)</f>
        <v>0</v>
      </c>
      <c r="Q132" s="7">
        <f>ROUND(SUMIF('5.0'!$D:$D,T_BS!D132,'5.0'!$N:$N),0)</f>
        <v>0</v>
      </c>
      <c r="R132" s="210">
        <f>ROUND(SUMIF('6.0'!$D:$D,T_BS!D132,'6.0'!$N:$N),0)</f>
        <v>0</v>
      </c>
      <c r="S132" s="210">
        <f>ROUND(SUMIF('7.0'!$D:$D,T_BS!D132,'7.0'!$I:$I),0)</f>
        <v>0</v>
      </c>
      <c r="T132" s="210">
        <f>ROUND(SUMIF('8.0'!$D:$D,T_BS!D132,'8.0'!$H:$H),0)</f>
        <v>0</v>
      </c>
      <c r="U132" s="15">
        <f t="shared" si="33"/>
        <v>0</v>
      </c>
      <c r="W132" s="39">
        <f t="shared" si="27"/>
        <v>15600000000</v>
      </c>
      <c r="Y132" s="5"/>
      <c r="AB132" s="39">
        <v>15600000000</v>
      </c>
      <c r="AC132" s="710">
        <f t="shared" si="17"/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 ht="18" customHeight="1">
      <c r="A133" s="5"/>
      <c r="D133" s="14">
        <v>125960</v>
      </c>
      <c r="E133" s="6" t="s">
        <v>6</v>
      </c>
      <c r="F133" s="40">
        <v>2507</v>
      </c>
      <c r="G133" s="6" t="s">
        <v>133</v>
      </c>
      <c r="H133" s="5">
        <v>-12428887888</v>
      </c>
      <c r="I133" s="211">
        <v>0</v>
      </c>
      <c r="J133" s="211">
        <v>0</v>
      </c>
      <c r="K133" s="15">
        <f t="shared" si="32"/>
        <v>-12428887888</v>
      </c>
      <c r="M133" s="676">
        <f>SUMIF('1.0'!$D:$D,T_BS!D133,'1.0'!$N:$N)</f>
        <v>0</v>
      </c>
      <c r="N133" s="211">
        <f>SUMIF('2.0'!$D:$D,T_BS!D133,'2.0'!$N:$N)</f>
        <v>0</v>
      </c>
      <c r="O133" s="7">
        <f>ROUND(SUMIF('3.0'!$D:$D,T_BS!D133,'3.0'!$H:$H),0)</f>
        <v>0</v>
      </c>
      <c r="P133" s="210">
        <f>ROUND(SUMIF('4.0'!$D:$D,T_BS!D133,'4.0'!$N:$N),0)</f>
        <v>0</v>
      </c>
      <c r="Q133" s="7">
        <f>ROUND(SUMIF('5.0'!$D:$D,T_BS!D133,'5.0'!$N:$N),0)</f>
        <v>0</v>
      </c>
      <c r="R133" s="210">
        <f>ROUND(SUMIF('6.0'!$D:$D,T_BS!D133,'6.0'!$N:$N),0)</f>
        <v>0</v>
      </c>
      <c r="S133" s="210">
        <f>ROUND(SUMIF('7.0'!$D:$D,T_BS!D133,'7.0'!$I:$I),0)</f>
        <v>0</v>
      </c>
      <c r="T133" s="210">
        <f>ROUND(SUMIF('8.0'!$D:$D,T_BS!D133,'8.0'!$H:$H),0)</f>
        <v>0</v>
      </c>
      <c r="U133" s="15">
        <f t="shared" si="33"/>
        <v>0</v>
      </c>
      <c r="W133" s="39">
        <f t="shared" si="27"/>
        <v>-12428887888</v>
      </c>
      <c r="Y133" s="5"/>
      <c r="AB133" s="39">
        <v>-12428887888</v>
      </c>
      <c r="AC133" s="710">
        <f t="shared" si="17"/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 ht="18" customHeight="1">
      <c r="A134" s="5"/>
      <c r="D134" s="14">
        <v>125970</v>
      </c>
      <c r="E134" s="6" t="s">
        <v>6</v>
      </c>
      <c r="F134" s="40">
        <v>2507</v>
      </c>
      <c r="G134" s="6" t="s">
        <v>134</v>
      </c>
      <c r="H134" s="5">
        <v>2500000000</v>
      </c>
      <c r="I134" s="211">
        <v>0</v>
      </c>
      <c r="J134" s="211">
        <v>0</v>
      </c>
      <c r="K134" s="15">
        <f t="shared" si="32"/>
        <v>2500000000</v>
      </c>
      <c r="M134" s="676">
        <f>SUMIF('1.0'!$D:$D,T_BS!D134,'1.0'!$N:$N)</f>
        <v>0</v>
      </c>
      <c r="N134" s="211">
        <f>SUMIF('2.0'!$D:$D,T_BS!D134,'2.0'!$N:$N)</f>
        <v>0</v>
      </c>
      <c r="O134" s="7">
        <f>ROUND(SUMIF('3.0'!$D:$D,T_BS!D134,'3.0'!$H:$H),0)</f>
        <v>0</v>
      </c>
      <c r="P134" s="210">
        <f>ROUND(SUMIF('4.0'!$D:$D,T_BS!D134,'4.0'!$N:$N),0)</f>
        <v>0</v>
      </c>
      <c r="Q134" s="7">
        <f>ROUND(SUMIF('5.0'!$D:$D,T_BS!D134,'5.0'!$N:$N),0)</f>
        <v>0</v>
      </c>
      <c r="R134" s="210">
        <f>ROUND(SUMIF('6.0'!$D:$D,T_BS!D134,'6.0'!$N:$N),0)</f>
        <v>0</v>
      </c>
      <c r="S134" s="210">
        <f>ROUND(SUMIF('7.0'!$D:$D,T_BS!D134,'7.0'!$I:$I),0)</f>
        <v>0</v>
      </c>
      <c r="T134" s="210">
        <f>ROUND(SUMIF('8.0'!$D:$D,T_BS!D134,'8.0'!$H:$H),0)</f>
        <v>0</v>
      </c>
      <c r="U134" s="15">
        <f t="shared" si="33"/>
        <v>0</v>
      </c>
      <c r="W134" s="39">
        <f t="shared" si="27"/>
        <v>2500000000</v>
      </c>
      <c r="Y134" s="5"/>
      <c r="AB134" s="39">
        <v>2500000000</v>
      </c>
      <c r="AC134" s="710">
        <f t="shared" si="17"/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 ht="18" customHeight="1">
      <c r="A135" s="5"/>
      <c r="D135" s="14">
        <v>125980</v>
      </c>
      <c r="E135" s="6" t="s">
        <v>6</v>
      </c>
      <c r="F135" s="40">
        <v>2507</v>
      </c>
      <c r="G135" s="6" t="s">
        <v>135</v>
      </c>
      <c r="H135" s="5">
        <v>-833333333</v>
      </c>
      <c r="I135" s="211">
        <v>0</v>
      </c>
      <c r="J135" s="211">
        <v>0</v>
      </c>
      <c r="K135" s="15">
        <f t="shared" si="32"/>
        <v>-833333333</v>
      </c>
      <c r="M135" s="676">
        <f>SUMIF('1.0'!$D:$D,T_BS!D135,'1.0'!$N:$N)</f>
        <v>0</v>
      </c>
      <c r="N135" s="211">
        <f>SUMIF('2.0'!$D:$D,T_BS!D135,'2.0'!$N:$N)</f>
        <v>0</v>
      </c>
      <c r="O135" s="7">
        <f>ROUND(SUMIF('3.0'!$D:$D,T_BS!D135,'3.0'!$H:$H),0)</f>
        <v>0</v>
      </c>
      <c r="P135" s="210">
        <f>ROUND(SUMIF('4.0'!$D:$D,T_BS!D135,'4.0'!$N:$N),0)</f>
        <v>0</v>
      </c>
      <c r="Q135" s="7">
        <f>ROUND(SUMIF('5.0'!$D:$D,T_BS!D135,'5.0'!$N:$N),0)</f>
        <v>0</v>
      </c>
      <c r="R135" s="210">
        <f>ROUND(SUMIF('6.0'!$D:$D,T_BS!D135,'6.0'!$N:$N),0)</f>
        <v>0</v>
      </c>
      <c r="S135" s="210">
        <f>ROUND(SUMIF('7.0'!$D:$D,T_BS!D135,'7.0'!$I:$I),0)</f>
        <v>0</v>
      </c>
      <c r="T135" s="210">
        <f>ROUND(SUMIF('8.0'!$D:$D,T_BS!D135,'8.0'!$H:$H),0)</f>
        <v>0</v>
      </c>
      <c r="U135" s="15">
        <f t="shared" si="33"/>
        <v>0</v>
      </c>
      <c r="W135" s="39">
        <f t="shared" si="27"/>
        <v>-833333333</v>
      </c>
      <c r="Y135" s="5"/>
      <c r="AB135" s="39">
        <v>-833333333</v>
      </c>
      <c r="AC135" s="710">
        <f t="shared" si="17"/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 ht="18" customHeight="1">
      <c r="A136" s="5"/>
      <c r="D136" s="43" t="s">
        <v>487</v>
      </c>
      <c r="E136" s="6" t="s">
        <v>6</v>
      </c>
      <c r="F136" s="40">
        <v>2507</v>
      </c>
      <c r="G136" s="6" t="s">
        <v>2048</v>
      </c>
      <c r="H136" s="5">
        <v>0</v>
      </c>
      <c r="I136" s="211">
        <v>0</v>
      </c>
      <c r="J136" s="211">
        <v>0</v>
      </c>
      <c r="K136" s="15">
        <f t="shared" si="32"/>
        <v>0</v>
      </c>
      <c r="M136" s="676">
        <f>SUMIF('1.0'!$D:$D,T_BS!D136,'1.0'!$N:$N)</f>
        <v>0</v>
      </c>
      <c r="N136" s="211">
        <f>SUMIF('2.0'!$D:$D,T_BS!D136,'2.0'!$N:$N)</f>
        <v>0</v>
      </c>
      <c r="O136" s="7">
        <f>ROUND(SUMIF('3.0'!$D:$D,T_BS!D136,'3.0'!$H:$H),0)</f>
        <v>0</v>
      </c>
      <c r="P136" s="210">
        <f>ROUND(SUMIF('4.0'!$D:$D,T_BS!D136,'4.0'!$N:$N),0)</f>
        <v>0</v>
      </c>
      <c r="Q136" s="7">
        <f>ROUND(SUMIF('5.0'!$D:$D,T_BS!D136,'5.0'!$N:$N),0)</f>
        <v>6881418585</v>
      </c>
      <c r="R136" s="210">
        <f>ROUND(SUMIF('6.0'!$D:$D,T_BS!D136,'6.0'!$N:$N),0)</f>
        <v>0</v>
      </c>
      <c r="S136" s="210">
        <f>ROUND(SUMIF('7.0'!$D:$D,T_BS!D136,'7.0'!$I:$I),0)</f>
        <v>0</v>
      </c>
      <c r="T136" s="210">
        <f>ROUND(SUMIF('8.0'!$D:$D,T_BS!D136,'8.0'!$H:$H),0)</f>
        <v>0</v>
      </c>
      <c r="U136" s="15">
        <f t="shared" si="33"/>
        <v>6881418585</v>
      </c>
      <c r="W136" s="39">
        <f t="shared" si="27"/>
        <v>6881418585</v>
      </c>
      <c r="Y136" s="5"/>
      <c r="AB136" s="39">
        <v>0</v>
      </c>
      <c r="AC136" s="710">
        <f t="shared" ref="AC136:AC200" si="34">W136-AB136</f>
        <v>6881418585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 ht="18" customHeight="1">
      <c r="A137" s="5"/>
      <c r="D137" s="43" t="s">
        <v>2050</v>
      </c>
      <c r="E137" s="6" t="s">
        <v>6</v>
      </c>
      <c r="F137" s="40">
        <v>2507</v>
      </c>
      <c r="G137" s="6" t="s">
        <v>2052</v>
      </c>
      <c r="H137" s="5">
        <v>0</v>
      </c>
      <c r="I137" s="211">
        <v>0</v>
      </c>
      <c r="J137" s="211">
        <v>0</v>
      </c>
      <c r="K137" s="15">
        <f>SUM(H137:J137)</f>
        <v>0</v>
      </c>
      <c r="M137" s="676">
        <f>SUMIF('1.0'!$D:$D,T_BS!D137,'1.0'!$N:$N)</f>
        <v>0</v>
      </c>
      <c r="N137" s="211">
        <f>SUMIF('2.0'!$D:$D,T_BS!D137,'2.0'!$N:$N)</f>
        <v>0</v>
      </c>
      <c r="O137" s="7">
        <f>ROUND(SUMIF('3.0'!$D:$D,T_BS!D137,'3.0'!$H:$H),0)</f>
        <v>0</v>
      </c>
      <c r="P137" s="210">
        <f>ROUND(SUMIF('4.0'!$D:$D,T_BS!D137,'4.0'!$N:$N),0)</f>
        <v>0</v>
      </c>
      <c r="Q137" s="7">
        <f>ROUND(SUMIF('5.0'!$D:$D,T_BS!D137,'5.0'!$N:$N),0)</f>
        <v>-2293806195</v>
      </c>
      <c r="R137" s="210">
        <f>ROUND(SUMIF('6.0'!$D:$D,T_BS!D137,'6.0'!$N:$N),0)</f>
        <v>0</v>
      </c>
      <c r="S137" s="210">
        <f>ROUND(SUMIF('7.0'!$D:$D,T_BS!D137,'7.0'!$I:$I),0)</f>
        <v>0</v>
      </c>
      <c r="T137" s="210">
        <f>ROUND(SUMIF('8.0'!$D:$D,T_BS!D137,'8.0'!$H:$H),0)</f>
        <v>0</v>
      </c>
      <c r="U137" s="15">
        <f>SUM(M137:T137)</f>
        <v>-2293806195</v>
      </c>
      <c r="W137" s="39">
        <f>U137+K137</f>
        <v>-2293806195</v>
      </c>
      <c r="Y137" s="5"/>
      <c r="AB137" s="39">
        <v>0</v>
      </c>
      <c r="AC137" s="710">
        <f t="shared" si="34"/>
        <v>-2293806195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 ht="18" customHeight="1">
      <c r="A138" s="5"/>
      <c r="D138" s="43" t="s">
        <v>2282</v>
      </c>
      <c r="E138" s="6" t="s">
        <v>6</v>
      </c>
      <c r="F138" s="40">
        <v>2507</v>
      </c>
      <c r="G138" s="6" t="s">
        <v>2281</v>
      </c>
      <c r="H138" s="5">
        <v>0</v>
      </c>
      <c r="I138" s="211">
        <v>0</v>
      </c>
      <c r="J138" s="211">
        <v>0</v>
      </c>
      <c r="K138" s="15">
        <f>SUM(H138:J138)</f>
        <v>0</v>
      </c>
      <c r="M138" s="676">
        <f>SUMIF('1.0'!$D:$D,T_BS!D138,'1.0'!$N:$N)</f>
        <v>0</v>
      </c>
      <c r="N138" s="211">
        <f>SUMIF('2.0'!$D:$D,T_BS!D138,'2.0'!$N:$N)</f>
        <v>0</v>
      </c>
      <c r="O138" s="7">
        <f>ROUND(SUMIF('3.0'!$D:$D,T_BS!D138,'3.0'!$H:$H),0)</f>
        <v>0</v>
      </c>
      <c r="P138" s="210">
        <f>ROUND(SUMIF('4.0'!$D:$D,T_BS!D138,'4.0'!$N:$N),0)</f>
        <v>0</v>
      </c>
      <c r="Q138" s="7">
        <f>ROUND(SUMIF('5.0'!$D:$D,T_BS!D138,'5.0'!$N:$N),0)</f>
        <v>-4587612390</v>
      </c>
      <c r="R138" s="210">
        <f>ROUND(SUMIF('6.0'!$D:$D,T_BS!D138,'6.0'!$N:$N),0)</f>
        <v>0</v>
      </c>
      <c r="S138" s="210">
        <f>ROUND(SUMIF('7.0'!$D:$D,T_BS!D138,'7.0'!$I:$I),0)</f>
        <v>0</v>
      </c>
      <c r="T138" s="210">
        <f>ROUND(SUMIF('8.0'!$D:$D,T_BS!D138,'8.0'!$H:$H),0)</f>
        <v>0</v>
      </c>
      <c r="U138" s="15">
        <f>SUM(M138:T138)</f>
        <v>-4587612390</v>
      </c>
      <c r="W138" s="39">
        <f>U138+K138</f>
        <v>-4587612390</v>
      </c>
      <c r="Y138" s="5"/>
      <c r="AB138" s="39"/>
      <c r="AC138" s="710">
        <f t="shared" si="34"/>
        <v>-4587612390</v>
      </c>
      <c r="AE138" s="5"/>
      <c r="AF138" s="5"/>
      <c r="AG138" s="5"/>
      <c r="AH138" s="5"/>
      <c r="AI138" s="5"/>
    </row>
    <row r="139" spans="1:35" ht="18" customHeight="1">
      <c r="A139" s="5"/>
      <c r="D139" s="43">
        <v>125930</v>
      </c>
      <c r="E139" s="6" t="s">
        <v>6</v>
      </c>
      <c r="F139" s="40">
        <v>2507</v>
      </c>
      <c r="G139" s="6" t="s">
        <v>1961</v>
      </c>
      <c r="H139" s="5">
        <v>248445371</v>
      </c>
      <c r="I139" s="211">
        <v>0</v>
      </c>
      <c r="J139" s="211">
        <v>0</v>
      </c>
      <c r="K139" s="15">
        <f t="shared" si="32"/>
        <v>248445371</v>
      </c>
      <c r="M139" s="676">
        <f>SUMIF('1.0'!$D:$D,T_BS!D139,'1.0'!$N:$N)</f>
        <v>0</v>
      </c>
      <c r="N139" s="211">
        <f>SUMIF('2.0'!$D:$D,T_BS!D139,'2.0'!$N:$N)</f>
        <v>0</v>
      </c>
      <c r="O139" s="7">
        <f>ROUND(SUMIF('3.0'!$D:$D,T_BS!D139,'3.0'!$H:$H),0)</f>
        <v>0</v>
      </c>
      <c r="P139" s="210">
        <f>ROUND(SUMIF('4.0'!$D:$D,T_BS!D139,'4.0'!$N:$N),0)</f>
        <v>0</v>
      </c>
      <c r="Q139" s="7">
        <f>ROUND(SUMIF('5.0'!$D:$D,T_BS!D139,'5.0'!$N:$N),0)</f>
        <v>0</v>
      </c>
      <c r="R139" s="210">
        <f>ROUND(SUMIF('6.0'!$D:$D,T_BS!D139,'6.0'!$N:$N),0)</f>
        <v>0</v>
      </c>
      <c r="S139" s="210">
        <f>ROUND(SUMIF('7.0'!$D:$D,T_BS!D139,'7.0'!$I:$I),0)</f>
        <v>0</v>
      </c>
      <c r="T139" s="210">
        <f>ROUND(SUMIF('8.0'!$D:$D,T_BS!D139,'8.0'!$H:$H),0)</f>
        <v>0</v>
      </c>
      <c r="U139" s="15">
        <f>SUM(M139:T139)</f>
        <v>0</v>
      </c>
      <c r="W139" s="39">
        <f>U139+K139</f>
        <v>248445371</v>
      </c>
      <c r="Y139" s="5"/>
      <c r="AB139" s="39">
        <v>248445371</v>
      </c>
      <c r="AC139" s="710">
        <f t="shared" si="34"/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 ht="18" customHeight="1">
      <c r="A140" s="5"/>
      <c r="D140" s="13"/>
      <c r="E140" s="34"/>
      <c r="F140" s="35"/>
      <c r="G140" s="34" t="s">
        <v>7</v>
      </c>
      <c r="H140" s="484">
        <f>H141+H142</f>
        <v>0</v>
      </c>
      <c r="I140" s="417">
        <f>I141+I142</f>
        <v>0</v>
      </c>
      <c r="J140" s="417">
        <f>J141+J142</f>
        <v>0</v>
      </c>
      <c r="K140" s="645">
        <f>K141+K142</f>
        <v>0</v>
      </c>
      <c r="M140" s="675">
        <f t="shared" ref="M140:U140" si="35">M141+M142</f>
        <v>0</v>
      </c>
      <c r="N140" s="417">
        <f t="shared" si="35"/>
        <v>0</v>
      </c>
      <c r="O140" s="417">
        <f t="shared" si="35"/>
        <v>0</v>
      </c>
      <c r="P140" s="417">
        <f t="shared" si="35"/>
        <v>0</v>
      </c>
      <c r="Q140" s="417">
        <f t="shared" si="35"/>
        <v>0</v>
      </c>
      <c r="R140" s="417">
        <f t="shared" si="35"/>
        <v>0</v>
      </c>
      <c r="S140" s="417">
        <f t="shared" si="35"/>
        <v>0</v>
      </c>
      <c r="T140" s="417">
        <f t="shared" si="35"/>
        <v>0</v>
      </c>
      <c r="U140" s="645">
        <f t="shared" si="35"/>
        <v>0</v>
      </c>
      <c r="W140" s="36">
        <f>W141+W142</f>
        <v>0</v>
      </c>
      <c r="Y140" s="5"/>
      <c r="AB140" s="36">
        <v>0</v>
      </c>
      <c r="AC140" s="710">
        <f t="shared" si="34"/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 ht="18" customHeight="1">
      <c r="A141" s="5"/>
      <c r="D141" s="14">
        <v>121850</v>
      </c>
      <c r="E141" s="6" t="s">
        <v>7</v>
      </c>
      <c r="F141" s="40">
        <v>2302</v>
      </c>
      <c r="G141" s="6" t="s">
        <v>136</v>
      </c>
      <c r="H141" s="5">
        <v>0</v>
      </c>
      <c r="I141" s="211">
        <v>0</v>
      </c>
      <c r="J141" s="211">
        <v>0</v>
      </c>
      <c r="K141" s="15">
        <f>SUM(H141:J141)</f>
        <v>0</v>
      </c>
      <c r="M141" s="676">
        <f>SUMIF('1.0'!$D:$D,T_BS!D141,'1.0'!$N:$N)</f>
        <v>0</v>
      </c>
      <c r="N141" s="211">
        <f>SUMIF('2.0'!$D:$D,T_BS!D141,'2.0'!$N:$N)</f>
        <v>0</v>
      </c>
      <c r="O141" s="7">
        <f>ROUND(SUMIF('3.0'!$D:$D,T_BS!D141,'3.0'!$H:$H),0)</f>
        <v>0</v>
      </c>
      <c r="P141" s="210">
        <f>ROUND(SUMIF('4.0'!$D:$D,T_BS!D141,'4.0'!$N:$N),0)</f>
        <v>0</v>
      </c>
      <c r="Q141" s="7">
        <f>ROUND(SUMIF('5.0'!$D:$D,T_BS!D141,'5.0'!$N:$N),0)</f>
        <v>0</v>
      </c>
      <c r="R141" s="210">
        <f>ROUND(SUMIF('6.0'!$D:$D,T_BS!D141,'6.0'!$N:$N),0)</f>
        <v>0</v>
      </c>
      <c r="S141" s="210">
        <f>ROUND(SUMIF('7.0'!$D:$D,T_BS!D141,'7.0'!$I:$I),0)</f>
        <v>0</v>
      </c>
      <c r="T141" s="210">
        <f>ROUND(SUMIF('8.0'!$D:$D,T_BS!D141,'8.0'!$H:$H),0)</f>
        <v>0</v>
      </c>
      <c r="U141" s="15">
        <f t="shared" si="33"/>
        <v>0</v>
      </c>
      <c r="W141" s="39">
        <f t="shared" si="27"/>
        <v>0</v>
      </c>
      <c r="Y141" s="5"/>
      <c r="AB141" s="39">
        <v>0</v>
      </c>
      <c r="AC141" s="710">
        <f t="shared" si="34"/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 s="386" customFormat="1" ht="18" customHeight="1">
      <c r="A142" s="238"/>
      <c r="B142" s="38" t="s">
        <v>1946</v>
      </c>
      <c r="C142" s="38"/>
      <c r="D142" s="658">
        <v>121510</v>
      </c>
      <c r="E142" s="38" t="s">
        <v>7</v>
      </c>
      <c r="F142" s="37" t="s">
        <v>2015</v>
      </c>
      <c r="G142" s="38" t="s">
        <v>1906</v>
      </c>
      <c r="H142" s="5">
        <v>0</v>
      </c>
      <c r="I142" s="211">
        <v>0</v>
      </c>
      <c r="J142" s="211">
        <v>0</v>
      </c>
      <c r="K142" s="677">
        <f>SUM(H142:J142)</f>
        <v>0</v>
      </c>
      <c r="M142" s="676">
        <f>SUMIF('1.0'!$D:$D,T_BS!D142,'1.0'!$N:$N)</f>
        <v>0</v>
      </c>
      <c r="N142" s="211">
        <f>SUMIF('2.0'!$D:$D,T_BS!D142,'2.0'!$N:$N)</f>
        <v>0</v>
      </c>
      <c r="O142" s="211">
        <f>ROUND(SUMIF('3.0'!$D:$D,T_BS!D142,'3.0'!$H:$H),0)</f>
        <v>0</v>
      </c>
      <c r="P142" s="210">
        <f>ROUND(SUMIF('4.0'!$D:$D,T_BS!D142,'4.0'!$N:$N),0)</f>
        <v>0</v>
      </c>
      <c r="Q142" s="211">
        <f>ROUND(SUMIF('5.0'!$D:$D,T_BS!D142,'5.0'!$N:$N),0)</f>
        <v>0</v>
      </c>
      <c r="R142" s="210">
        <f>ROUND(SUMIF('6.0'!$D:$D,T_BS!D142,'6.0'!$N:$N),0)</f>
        <v>0</v>
      </c>
      <c r="S142" s="210">
        <f>ROUND(SUMIF('7.0'!$D:$D,T_BS!D142,'7.0'!$I:$I),0)</f>
        <v>0</v>
      </c>
      <c r="T142" s="210">
        <f>ROUND(SUMIF('8.0'!$D:$D,T_BS!D142,'8.0'!$H:$H),0)</f>
        <v>0</v>
      </c>
      <c r="U142" s="677">
        <f>SUM(M142:T142)</f>
        <v>0</v>
      </c>
      <c r="W142" s="425">
        <f t="shared" si="27"/>
        <v>0</v>
      </c>
      <c r="Y142" s="5"/>
      <c r="AB142" s="425">
        <v>0</v>
      </c>
      <c r="AC142" s="710">
        <f t="shared" si="34"/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</row>
    <row r="143" spans="1:35" ht="18" customHeight="1">
      <c r="A143" s="5"/>
      <c r="D143" s="11"/>
      <c r="E143" s="28"/>
      <c r="F143" s="29"/>
      <c r="G143" s="28" t="s">
        <v>8</v>
      </c>
      <c r="H143" s="473">
        <f>H144+H205</f>
        <v>75332598719</v>
      </c>
      <c r="I143" s="643">
        <f>I144+I205</f>
        <v>695063310</v>
      </c>
      <c r="J143" s="643">
        <f>J144+J205</f>
        <v>1705113736</v>
      </c>
      <c r="K143" s="644">
        <f>K144+K205</f>
        <v>77732775765</v>
      </c>
      <c r="M143" s="674">
        <f>M144+M205</f>
        <v>0</v>
      </c>
      <c r="N143" s="643">
        <f t="shared" ref="N143:U143" si="36">N144+N205</f>
        <v>0</v>
      </c>
      <c r="O143" s="643">
        <f t="shared" si="36"/>
        <v>-1090735376</v>
      </c>
      <c r="P143" s="643">
        <f t="shared" si="36"/>
        <v>0</v>
      </c>
      <c r="Q143" s="643">
        <f t="shared" si="36"/>
        <v>0</v>
      </c>
      <c r="R143" s="643">
        <f t="shared" si="36"/>
        <v>0</v>
      </c>
      <c r="S143" s="643">
        <f t="shared" si="36"/>
        <v>0</v>
      </c>
      <c r="T143" s="643">
        <f t="shared" si="36"/>
        <v>0</v>
      </c>
      <c r="U143" s="644">
        <f t="shared" si="36"/>
        <v>-1090735376</v>
      </c>
      <c r="W143" s="30">
        <f>W144+W205</f>
        <v>76642040389</v>
      </c>
      <c r="Y143" s="5"/>
      <c r="AB143" s="30">
        <v>75741747745</v>
      </c>
      <c r="AC143" s="710">
        <f t="shared" si="34"/>
        <v>900292644</v>
      </c>
      <c r="AE143" s="5">
        <v>-142850170</v>
      </c>
      <c r="AF143" s="5">
        <v>0</v>
      </c>
      <c r="AG143" s="5">
        <v>361692430</v>
      </c>
      <c r="AH143" s="5">
        <v>149450384</v>
      </c>
      <c r="AI143" s="5">
        <v>368292644</v>
      </c>
    </row>
    <row r="144" spans="1:35" ht="18" customHeight="1">
      <c r="A144" s="5"/>
      <c r="D144" s="12"/>
      <c r="E144" s="31"/>
      <c r="F144" s="32"/>
      <c r="G144" s="31" t="s">
        <v>9</v>
      </c>
      <c r="H144" s="479">
        <f>SUM(H145,H166,H173,H201,H203)</f>
        <v>71842687306</v>
      </c>
      <c r="I144" s="446">
        <f>SUM(I145,I166,I173,I201,I203)</f>
        <v>684525832</v>
      </c>
      <c r="J144" s="446">
        <f>SUM(J145,J166,J173,J201,J203)</f>
        <v>1325984772</v>
      </c>
      <c r="K144" s="461">
        <f>SUM(K145,K166,K173,K201,K203)</f>
        <v>73853197910</v>
      </c>
      <c r="M144" s="445">
        <f t="shared" ref="M144:R144" si="37">SUM(M145,M166,M173,M201,M203)</f>
        <v>0</v>
      </c>
      <c r="N144" s="446">
        <f t="shared" si="37"/>
        <v>0</v>
      </c>
      <c r="O144" s="446">
        <f t="shared" si="37"/>
        <v>-1090735376</v>
      </c>
      <c r="P144" s="446">
        <f t="shared" si="37"/>
        <v>0</v>
      </c>
      <c r="Q144" s="446">
        <f t="shared" si="37"/>
        <v>0</v>
      </c>
      <c r="R144" s="446">
        <f t="shared" si="37"/>
        <v>0</v>
      </c>
      <c r="S144" s="446">
        <f>SUM(S145,S166,S173,S201,S203)</f>
        <v>0</v>
      </c>
      <c r="T144" s="446">
        <f>SUM(T145,T166,T173,T201,T203)</f>
        <v>0</v>
      </c>
      <c r="U144" s="461">
        <f>SUM(U145,U166,U173,U201,U203)</f>
        <v>-1090735376</v>
      </c>
      <c r="W144" s="33">
        <f>SUM(W145,W166,W173,W201,W203)</f>
        <v>72762462534</v>
      </c>
      <c r="Y144" s="5"/>
      <c r="AB144" s="33">
        <v>72188130133</v>
      </c>
      <c r="AC144" s="710">
        <f t="shared" si="34"/>
        <v>574332401</v>
      </c>
      <c r="AE144" s="5">
        <v>-142850170</v>
      </c>
      <c r="AF144" s="5">
        <v>687996</v>
      </c>
      <c r="AG144" s="5">
        <v>35044191</v>
      </c>
      <c r="AH144" s="5">
        <v>149450384</v>
      </c>
      <c r="AI144" s="5">
        <v>42332401</v>
      </c>
    </row>
    <row r="145" spans="1:35" ht="18" customHeight="1">
      <c r="A145" s="5"/>
      <c r="D145" s="13">
        <v>211000</v>
      </c>
      <c r="E145" s="34"/>
      <c r="F145" s="35"/>
      <c r="G145" s="34" t="s">
        <v>137</v>
      </c>
      <c r="H145" s="484">
        <f>SUM(H146:H165)</f>
        <v>60487493904</v>
      </c>
      <c r="I145" s="417">
        <f>SUM(I146:I165)</f>
        <v>569863656</v>
      </c>
      <c r="J145" s="417">
        <f>SUM(J146:J165)</f>
        <v>439338555</v>
      </c>
      <c r="K145" s="645">
        <f>SUM(K146:K165)</f>
        <v>61496696115</v>
      </c>
      <c r="M145" s="675">
        <f t="shared" ref="M145:R145" si="38">SUM(M146:M165)</f>
        <v>0</v>
      </c>
      <c r="N145" s="417">
        <f t="shared" si="38"/>
        <v>0</v>
      </c>
      <c r="O145" s="417">
        <f t="shared" si="38"/>
        <v>-563605376</v>
      </c>
      <c r="P145" s="417">
        <f t="shared" si="38"/>
        <v>0</v>
      </c>
      <c r="Q145" s="417">
        <f t="shared" si="38"/>
        <v>0</v>
      </c>
      <c r="R145" s="417">
        <f t="shared" si="38"/>
        <v>0</v>
      </c>
      <c r="S145" s="417">
        <f>SUM(S146:S165)</f>
        <v>0</v>
      </c>
      <c r="T145" s="417">
        <f>SUM(T146:T165)</f>
        <v>0</v>
      </c>
      <c r="U145" s="645">
        <f>SUM(U146:U165)</f>
        <v>-563605376</v>
      </c>
      <c r="W145" s="36">
        <f>SUM(W146:W165)</f>
        <v>60933090739</v>
      </c>
      <c r="Y145" s="5"/>
      <c r="AB145" s="36">
        <v>60532692625</v>
      </c>
      <c r="AC145" s="710">
        <f t="shared" si="34"/>
        <v>400398114</v>
      </c>
      <c r="AE145" s="5">
        <v>-141136583</v>
      </c>
      <c r="AF145" s="5">
        <v>0</v>
      </c>
      <c r="AG145" s="5">
        <v>9475331</v>
      </c>
      <c r="AH145" s="5">
        <v>59366</v>
      </c>
      <c r="AI145" s="5">
        <v>-131601886</v>
      </c>
    </row>
    <row r="146" spans="1:35" ht="18" customHeight="1">
      <c r="A146" s="5"/>
      <c r="D146" s="14">
        <v>211111</v>
      </c>
      <c r="E146" s="6" t="s">
        <v>137</v>
      </c>
      <c r="F146" s="40">
        <v>3101</v>
      </c>
      <c r="G146" s="6" t="s">
        <v>138</v>
      </c>
      <c r="H146" s="5">
        <v>2258651007</v>
      </c>
      <c r="I146" s="211">
        <v>0</v>
      </c>
      <c r="J146" s="211">
        <v>0</v>
      </c>
      <c r="K146" s="15">
        <f t="shared" ref="K146:K165" si="39">SUM(H146:J146)</f>
        <v>2258651007</v>
      </c>
      <c r="M146" s="676">
        <f>-SUMIF('1.0'!$D:$D,T_BS!D146,'1.0'!$N:$N)</f>
        <v>0</v>
      </c>
      <c r="N146" s="211">
        <f>-SUMIF('2.0'!$D:$D,T_BS!D146,'2.0'!$N:$N)</f>
        <v>0</v>
      </c>
      <c r="O146" s="7">
        <f>-ROUND(SUMIF('3.0'!$D:$D,T_BS!D146,'3.0'!$H:$H),0)</f>
        <v>0</v>
      </c>
      <c r="P146" s="210">
        <f>-ROUND(SUMIF('4.0'!$D:$D,T_BS!D146,'4.0'!$N:$N),0)</f>
        <v>0</v>
      </c>
      <c r="Q146" s="7">
        <f>-ROUND(SUMIF('5.0'!$D:$D,T_BS!D146,'5.0'!$N:$N),0)</f>
        <v>0</v>
      </c>
      <c r="R146" s="210">
        <f>-ROUND(SUMIF('6.0'!$D:$D,T_BS!D146,'6.0'!$N:$N),0)</f>
        <v>0</v>
      </c>
      <c r="S146" s="210">
        <f>-ROUND(SUMIF('7.0'!$D:$D,T_BS!D146,'7.0'!$I:$I),0)</f>
        <v>0</v>
      </c>
      <c r="T146" s="210">
        <f>-ROUND(SUMIF('8.0'!$D:$D,T_BS!D146,'8.0'!$H:$H),0)</f>
        <v>0</v>
      </c>
      <c r="U146" s="15">
        <f t="shared" ref="U146:U165" si="40">SUM(M146:T146)</f>
        <v>0</v>
      </c>
      <c r="W146" s="39">
        <f t="shared" ref="W146:W165" si="41">U146+K146</f>
        <v>2258651007</v>
      </c>
      <c r="Y146" s="5"/>
      <c r="AB146" s="39">
        <v>2258651007</v>
      </c>
      <c r="AC146" s="710">
        <f t="shared" si="34"/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 ht="18" customHeight="1">
      <c r="A147" s="5"/>
      <c r="D147" s="14">
        <v>211121</v>
      </c>
      <c r="E147" s="6" t="s">
        <v>137</v>
      </c>
      <c r="F147" s="40">
        <v>3101</v>
      </c>
      <c r="G147" s="6" t="s">
        <v>139</v>
      </c>
      <c r="H147" s="5">
        <v>602868523</v>
      </c>
      <c r="I147" s="211">
        <v>23929675</v>
      </c>
      <c r="J147" s="211">
        <v>74864426</v>
      </c>
      <c r="K147" s="15">
        <f t="shared" si="39"/>
        <v>701662624</v>
      </c>
      <c r="M147" s="676">
        <f>-SUMIF('1.0'!$D:$D,T_BS!D147,'1.0'!$N:$N)</f>
        <v>0</v>
      </c>
      <c r="N147" s="211">
        <f>-SUMIF('2.0'!$D:$D,T_BS!D147,'2.0'!$N:$N)</f>
        <v>0</v>
      </c>
      <c r="O147" s="7">
        <f>-ROUND(SUMIF('3.0'!$D:$D,T_BS!D147,'3.0'!$H:$H),0)</f>
        <v>-463781254</v>
      </c>
      <c r="P147" s="210">
        <f>-ROUND(SUMIF('4.0'!$D:$D,T_BS!D147,'4.0'!$N:$N),0)</f>
        <v>0</v>
      </c>
      <c r="Q147" s="7">
        <f>-ROUND(SUMIF('5.0'!$D:$D,T_BS!D147,'5.0'!$N:$N),0)</f>
        <v>0</v>
      </c>
      <c r="R147" s="210">
        <f>-ROUND(SUMIF('6.0'!$D:$D,T_BS!D147,'6.0'!$N:$N),0)</f>
        <v>0</v>
      </c>
      <c r="S147" s="210">
        <f>-ROUND(SUMIF('7.0'!$D:$D,T_BS!D147,'7.0'!$I:$I),0)</f>
        <v>0</v>
      </c>
      <c r="T147" s="210">
        <f>-ROUND(SUMIF('8.0'!$D:$D,T_BS!D147,'8.0'!$H:$H),0)</f>
        <v>0</v>
      </c>
      <c r="U147" s="15">
        <f t="shared" si="40"/>
        <v>-463781254</v>
      </c>
      <c r="W147" s="39">
        <f t="shared" si="41"/>
        <v>237881370</v>
      </c>
      <c r="Y147" s="5"/>
      <c r="AB147" s="39">
        <v>237822004</v>
      </c>
      <c r="AC147" s="710">
        <f t="shared" si="34"/>
        <v>59366</v>
      </c>
      <c r="AE147" s="5">
        <v>0</v>
      </c>
      <c r="AF147" s="5">
        <v>0</v>
      </c>
      <c r="AG147" s="5">
        <v>0</v>
      </c>
      <c r="AH147" s="5">
        <v>59366</v>
      </c>
      <c r="AI147" s="5">
        <v>59366</v>
      </c>
    </row>
    <row r="148" spans="1:35" ht="18" customHeight="1">
      <c r="A148" s="5"/>
      <c r="D148" s="14">
        <v>211131</v>
      </c>
      <c r="E148" s="6" t="s">
        <v>137</v>
      </c>
      <c r="F148" s="40">
        <v>3101</v>
      </c>
      <c r="G148" s="6" t="s">
        <v>140</v>
      </c>
      <c r="H148" s="5">
        <v>9203085793</v>
      </c>
      <c r="I148" s="211">
        <v>0</v>
      </c>
      <c r="J148" s="211">
        <v>0</v>
      </c>
      <c r="K148" s="15">
        <f t="shared" si="39"/>
        <v>9203085793</v>
      </c>
      <c r="M148" s="676">
        <f>-SUMIF('1.0'!$D:$D,T_BS!D148,'1.0'!$N:$N)</f>
        <v>0</v>
      </c>
      <c r="N148" s="211">
        <f>-SUMIF('2.0'!$D:$D,T_BS!D148,'2.0'!$N:$N)</f>
        <v>0</v>
      </c>
      <c r="O148" s="7">
        <f>-ROUND(SUMIF('3.0'!$D:$D,T_BS!D148,'3.0'!$H:$H),0)</f>
        <v>0</v>
      </c>
      <c r="P148" s="210">
        <f>-ROUND(SUMIF('4.0'!$D:$D,T_BS!D148,'4.0'!$N:$N),0)</f>
        <v>0</v>
      </c>
      <c r="Q148" s="7">
        <f>-ROUND(SUMIF('5.0'!$D:$D,T_BS!D148,'5.0'!$N:$N),0)</f>
        <v>0</v>
      </c>
      <c r="R148" s="210">
        <f>-ROUND(SUMIF('6.0'!$D:$D,T_BS!D148,'6.0'!$N:$N),0)</f>
        <v>0</v>
      </c>
      <c r="S148" s="210">
        <f>-ROUND(SUMIF('7.0'!$D:$D,T_BS!D148,'7.0'!$I:$I),0)</f>
        <v>0</v>
      </c>
      <c r="T148" s="210">
        <f>-ROUND(SUMIF('8.0'!$D:$D,T_BS!D148,'8.0'!$H:$H),0)</f>
        <v>0</v>
      </c>
      <c r="U148" s="15">
        <f t="shared" si="40"/>
        <v>0</v>
      </c>
      <c r="W148" s="39">
        <f t="shared" si="41"/>
        <v>9203085793</v>
      </c>
      <c r="Y148" s="5"/>
      <c r="AB148" s="39">
        <v>9203085793</v>
      </c>
      <c r="AC148" s="710">
        <f t="shared" si="34"/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 ht="18" customHeight="1">
      <c r="A149" s="5"/>
      <c r="D149" s="14">
        <v>211141</v>
      </c>
      <c r="E149" s="6" t="s">
        <v>137</v>
      </c>
      <c r="F149" s="40">
        <v>3101</v>
      </c>
      <c r="G149" s="6" t="s">
        <v>141</v>
      </c>
      <c r="H149" s="5">
        <v>20968655431</v>
      </c>
      <c r="I149" s="211">
        <v>0</v>
      </c>
      <c r="J149" s="211">
        <v>0</v>
      </c>
      <c r="K149" s="15">
        <f t="shared" si="39"/>
        <v>20968655431</v>
      </c>
      <c r="M149" s="676">
        <f>-SUMIF('1.0'!$D:$D,T_BS!D149,'1.0'!$N:$N)</f>
        <v>0</v>
      </c>
      <c r="N149" s="211">
        <f>-SUMIF('2.0'!$D:$D,T_BS!D149,'2.0'!$N:$N)</f>
        <v>0</v>
      </c>
      <c r="O149" s="7">
        <f>-ROUND(SUMIF('3.0'!$D:$D,T_BS!D149,'3.0'!$H:$H),0)</f>
        <v>0</v>
      </c>
      <c r="P149" s="210">
        <f>-ROUND(SUMIF('4.0'!$D:$D,T_BS!D149,'4.0'!$N:$N),0)</f>
        <v>0</v>
      </c>
      <c r="Q149" s="7">
        <f>-ROUND(SUMIF('5.0'!$D:$D,T_BS!D149,'5.0'!$N:$N),0)</f>
        <v>0</v>
      </c>
      <c r="R149" s="210">
        <f>-ROUND(SUMIF('6.0'!$D:$D,T_BS!D149,'6.0'!$N:$N),0)</f>
        <v>0</v>
      </c>
      <c r="S149" s="210">
        <f>-ROUND(SUMIF('7.0'!$D:$D,T_BS!D149,'7.0'!$I:$I),0)</f>
        <v>0</v>
      </c>
      <c r="T149" s="210">
        <f>-ROUND(SUMIF('8.0'!$D:$D,T_BS!D149,'8.0'!$H:$H),0)</f>
        <v>0</v>
      </c>
      <c r="U149" s="15">
        <f t="shared" si="40"/>
        <v>0</v>
      </c>
      <c r="W149" s="39">
        <f t="shared" si="41"/>
        <v>20968655431</v>
      </c>
      <c r="Y149" s="5"/>
      <c r="AB149" s="39">
        <v>20968655431</v>
      </c>
      <c r="AC149" s="710">
        <f t="shared" si="34"/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 ht="18" customHeight="1">
      <c r="A150" s="5"/>
      <c r="D150" s="14">
        <v>211151</v>
      </c>
      <c r="E150" s="6" t="s">
        <v>137</v>
      </c>
      <c r="F150" s="40">
        <v>3101</v>
      </c>
      <c r="G150" s="6" t="s">
        <v>142</v>
      </c>
      <c r="H150" s="5">
        <v>255366</v>
      </c>
      <c r="I150" s="211">
        <v>0</v>
      </c>
      <c r="J150" s="211">
        <v>0</v>
      </c>
      <c r="K150" s="15">
        <f t="shared" si="39"/>
        <v>255366</v>
      </c>
      <c r="M150" s="676">
        <f>-SUMIF('1.0'!$D:$D,T_BS!D150,'1.0'!$N:$N)</f>
        <v>0</v>
      </c>
      <c r="N150" s="211">
        <f>-SUMIF('2.0'!$D:$D,T_BS!D150,'2.0'!$N:$N)</f>
        <v>0</v>
      </c>
      <c r="O150" s="7">
        <f>-ROUND(SUMIF('3.0'!$D:$D,T_BS!D150,'3.0'!$H:$H),0)</f>
        <v>0</v>
      </c>
      <c r="P150" s="210">
        <f>-ROUND(SUMIF('4.0'!$D:$D,T_BS!D150,'4.0'!$N:$N),0)</f>
        <v>0</v>
      </c>
      <c r="Q150" s="7">
        <f>-ROUND(SUMIF('5.0'!$D:$D,T_BS!D150,'5.0'!$N:$N),0)</f>
        <v>0</v>
      </c>
      <c r="R150" s="210">
        <f>-ROUND(SUMIF('6.0'!$D:$D,T_BS!D150,'6.0'!$N:$N),0)</f>
        <v>0</v>
      </c>
      <c r="S150" s="210">
        <f>-ROUND(SUMIF('7.0'!$D:$D,T_BS!D150,'7.0'!$I:$I),0)</f>
        <v>0</v>
      </c>
      <c r="T150" s="210">
        <f>-ROUND(SUMIF('8.0'!$D:$D,T_BS!D150,'8.0'!$H:$H),0)</f>
        <v>0</v>
      </c>
      <c r="U150" s="15">
        <f t="shared" si="40"/>
        <v>0</v>
      </c>
      <c r="W150" s="39">
        <f t="shared" si="41"/>
        <v>255366</v>
      </c>
      <c r="Y150" s="5"/>
      <c r="AB150" s="39">
        <v>255366</v>
      </c>
      <c r="AC150" s="710">
        <f t="shared" si="34"/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 ht="18" customHeight="1">
      <c r="A151" s="5"/>
      <c r="D151" s="14">
        <v>211161</v>
      </c>
      <c r="E151" s="6" t="s">
        <v>137</v>
      </c>
      <c r="F151" s="40">
        <v>3101</v>
      </c>
      <c r="G151" s="6" t="s">
        <v>143</v>
      </c>
      <c r="H151" s="5">
        <v>0</v>
      </c>
      <c r="I151" s="211">
        <v>0</v>
      </c>
      <c r="J151" s="211">
        <v>0</v>
      </c>
      <c r="K151" s="15">
        <f t="shared" si="39"/>
        <v>0</v>
      </c>
      <c r="M151" s="676">
        <f>-SUMIF('1.0'!$D:$D,T_BS!D151,'1.0'!$N:$N)</f>
        <v>0</v>
      </c>
      <c r="N151" s="211">
        <f>-SUMIF('2.0'!$D:$D,T_BS!D151,'2.0'!$N:$N)</f>
        <v>0</v>
      </c>
      <c r="O151" s="7">
        <f>-ROUND(SUMIF('3.0'!$D:$D,T_BS!D151,'3.0'!$H:$H),0)</f>
        <v>0</v>
      </c>
      <c r="P151" s="210">
        <f>-ROUND(SUMIF('4.0'!$D:$D,T_BS!D151,'4.0'!$N:$N),0)</f>
        <v>0</v>
      </c>
      <c r="Q151" s="7">
        <f>-ROUND(SUMIF('5.0'!$D:$D,T_BS!D151,'5.0'!$N:$N),0)</f>
        <v>0</v>
      </c>
      <c r="R151" s="210">
        <f>-ROUND(SUMIF('6.0'!$D:$D,T_BS!D151,'6.0'!$N:$N),0)</f>
        <v>0</v>
      </c>
      <c r="S151" s="210">
        <f>-ROUND(SUMIF('7.0'!$D:$D,T_BS!D151,'7.0'!$I:$I),0)</f>
        <v>0</v>
      </c>
      <c r="T151" s="210">
        <f>-ROUND(SUMIF('8.0'!$D:$D,T_BS!D151,'8.0'!$H:$H),0)</f>
        <v>0</v>
      </c>
      <c r="U151" s="15">
        <f t="shared" si="40"/>
        <v>0</v>
      </c>
      <c r="W151" s="39">
        <f t="shared" si="41"/>
        <v>0</v>
      </c>
      <c r="Y151" s="5"/>
      <c r="AB151" s="39">
        <v>0</v>
      </c>
      <c r="AC151" s="710">
        <f t="shared" si="34"/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 ht="18" customHeight="1">
      <c r="A152" s="5"/>
      <c r="D152" s="14">
        <v>211171</v>
      </c>
      <c r="E152" s="6" t="s">
        <v>137</v>
      </c>
      <c r="F152" s="40">
        <v>3101</v>
      </c>
      <c r="G152" s="6" t="s">
        <v>1962</v>
      </c>
      <c r="H152" s="5">
        <v>0</v>
      </c>
      <c r="I152" s="211">
        <v>0</v>
      </c>
      <c r="J152" s="211">
        <v>0</v>
      </c>
      <c r="K152" s="15">
        <f>SUM(H152:J152)</f>
        <v>0</v>
      </c>
      <c r="M152" s="676">
        <f>-SUMIF('1.0'!$D:$D,T_BS!D152,'1.0'!$N:$N)</f>
        <v>0</v>
      </c>
      <c r="N152" s="211">
        <f>-SUMIF('2.0'!$D:$D,T_BS!D152,'2.0'!$N:$N)</f>
        <v>0</v>
      </c>
      <c r="O152" s="7">
        <f>-ROUND(SUMIF('3.0'!$D:$D,T_BS!D152,'3.0'!$H:$H),0)</f>
        <v>0</v>
      </c>
      <c r="P152" s="210">
        <f>-ROUND(SUMIF('4.0'!$D:$D,T_BS!D152,'4.0'!$N:$N),0)</f>
        <v>0</v>
      </c>
      <c r="Q152" s="7">
        <f>-ROUND(SUMIF('5.0'!$D:$D,T_BS!D152,'5.0'!$N:$N),0)</f>
        <v>0</v>
      </c>
      <c r="R152" s="210">
        <f>-ROUND(SUMIF('6.0'!$D:$D,T_BS!D152,'6.0'!$N:$N),0)</f>
        <v>0</v>
      </c>
      <c r="S152" s="210">
        <f>-ROUND(SUMIF('7.0'!$D:$D,T_BS!D152,'7.0'!$I:$I),0)</f>
        <v>0</v>
      </c>
      <c r="T152" s="210">
        <f>-ROUND(SUMIF('8.0'!$D:$D,T_BS!D152,'8.0'!$H:$H),0)</f>
        <v>0</v>
      </c>
      <c r="U152" s="15">
        <f>SUM(M152:T152)</f>
        <v>0</v>
      </c>
      <c r="W152" s="39">
        <f>U152+K152</f>
        <v>0</v>
      </c>
      <c r="Y152" s="5"/>
      <c r="AB152" s="39">
        <v>-123552</v>
      </c>
      <c r="AC152" s="710">
        <f t="shared" si="34"/>
        <v>123552</v>
      </c>
      <c r="AE152" s="5">
        <v>123552</v>
      </c>
      <c r="AF152" s="5">
        <v>0</v>
      </c>
      <c r="AG152" s="5">
        <v>0</v>
      </c>
      <c r="AH152" s="5">
        <v>0</v>
      </c>
      <c r="AI152" s="5">
        <v>123552</v>
      </c>
    </row>
    <row r="153" spans="1:35" ht="18" customHeight="1">
      <c r="A153" s="5"/>
      <c r="D153" s="14">
        <v>213100</v>
      </c>
      <c r="E153" s="6" t="s">
        <v>137</v>
      </c>
      <c r="F153" s="40">
        <v>3102</v>
      </c>
      <c r="G153" s="6" t="s">
        <v>144</v>
      </c>
      <c r="H153" s="5">
        <v>24602996218</v>
      </c>
      <c r="I153" s="211">
        <v>0</v>
      </c>
      <c r="J153" s="211">
        <v>0</v>
      </c>
      <c r="K153" s="15">
        <f t="shared" si="39"/>
        <v>24602996218</v>
      </c>
      <c r="M153" s="676">
        <f>-SUMIF('1.0'!$D:$D,T_BS!D153,'1.0'!$N:$N)</f>
        <v>0</v>
      </c>
      <c r="N153" s="211">
        <f>-SUMIF('2.0'!$D:$D,T_BS!D153,'2.0'!$N:$N)</f>
        <v>0</v>
      </c>
      <c r="O153" s="7">
        <f>-ROUND(SUMIF('3.0'!$D:$D,T_BS!D153,'3.0'!$H:$H),0)</f>
        <v>0</v>
      </c>
      <c r="P153" s="210">
        <f>-ROUND(SUMIF('4.0'!$D:$D,T_BS!D153,'4.0'!$N:$N),0)</f>
        <v>0</v>
      </c>
      <c r="Q153" s="7">
        <f>-ROUND(SUMIF('5.0'!$D:$D,T_BS!D153,'5.0'!$N:$N),0)</f>
        <v>0</v>
      </c>
      <c r="R153" s="210">
        <f>-ROUND(SUMIF('6.0'!$D:$D,T_BS!D153,'6.0'!$N:$N),0)</f>
        <v>0</v>
      </c>
      <c r="S153" s="210">
        <f>-ROUND(SUMIF('7.0'!$D:$D,T_BS!D153,'7.0'!$I:$I),0)</f>
        <v>0</v>
      </c>
      <c r="T153" s="210">
        <f>-ROUND(SUMIF('8.0'!$D:$D,T_BS!D153,'8.0'!$H:$H),0)</f>
        <v>0</v>
      </c>
      <c r="U153" s="15">
        <f t="shared" si="40"/>
        <v>0</v>
      </c>
      <c r="W153" s="39">
        <f t="shared" si="41"/>
        <v>24602996218</v>
      </c>
      <c r="Y153" s="5"/>
      <c r="AB153" s="39">
        <v>24529575397</v>
      </c>
      <c r="AC153" s="710">
        <f t="shared" si="34"/>
        <v>73420821</v>
      </c>
      <c r="AE153" s="5">
        <v>73420821</v>
      </c>
      <c r="AF153" s="5">
        <v>0</v>
      </c>
      <c r="AG153" s="5">
        <v>0</v>
      </c>
      <c r="AH153" s="5">
        <v>0</v>
      </c>
      <c r="AI153" s="5">
        <v>73420821</v>
      </c>
    </row>
    <row r="154" spans="1:35" ht="18" customHeight="1">
      <c r="A154" s="5"/>
      <c r="D154" s="14">
        <v>213150</v>
      </c>
      <c r="E154" s="6" t="s">
        <v>137</v>
      </c>
      <c r="F154" s="40">
        <v>3102</v>
      </c>
      <c r="G154" s="6" t="s">
        <v>145</v>
      </c>
      <c r="H154" s="5">
        <v>74465516</v>
      </c>
      <c r="I154" s="211">
        <v>539262799</v>
      </c>
      <c r="J154" s="211">
        <v>340727945</v>
      </c>
      <c r="K154" s="15">
        <f t="shared" si="39"/>
        <v>954456260</v>
      </c>
      <c r="M154" s="676">
        <f>-SUMIF('1.0'!$D:$D,T_BS!D154,'1.0'!$N:$N)</f>
        <v>0</v>
      </c>
      <c r="N154" s="211">
        <f>-SUMIF('2.0'!$D:$D,T_BS!D154,'2.0'!$N:$N)</f>
        <v>0</v>
      </c>
      <c r="O154" s="7">
        <f>-ROUND(SUMIF('3.0'!$D:$D,T_BS!D154,'3.0'!$H:$H),0)</f>
        <v>-87326534</v>
      </c>
      <c r="P154" s="210">
        <f>-ROUND(SUMIF('4.0'!$D:$D,T_BS!D154,'4.0'!$N:$N),0)</f>
        <v>0</v>
      </c>
      <c r="Q154" s="7">
        <f>-ROUND(SUMIF('5.0'!$D:$D,T_BS!D154,'5.0'!$N:$N),0)</f>
        <v>0</v>
      </c>
      <c r="R154" s="210">
        <f>-ROUND(SUMIF('6.0'!$D:$D,T_BS!D154,'6.0'!$N:$N),0)</f>
        <v>0</v>
      </c>
      <c r="S154" s="210">
        <f>-ROUND(SUMIF('7.0'!$D:$D,T_BS!D154,'7.0'!$I:$I),0)</f>
        <v>0</v>
      </c>
      <c r="T154" s="210">
        <f>-ROUND(SUMIF('8.0'!$D:$D,T_BS!D154,'8.0'!$H:$H),0)</f>
        <v>0</v>
      </c>
      <c r="U154" s="15">
        <f t="shared" si="40"/>
        <v>-87326534</v>
      </c>
      <c r="W154" s="39">
        <f t="shared" si="41"/>
        <v>867129726</v>
      </c>
      <c r="Y154" s="5"/>
      <c r="AB154" s="39">
        <v>859932743</v>
      </c>
      <c r="AC154" s="710">
        <f t="shared" si="34"/>
        <v>7196983</v>
      </c>
      <c r="AE154" s="5">
        <v>1576512</v>
      </c>
      <c r="AF154" s="5">
        <v>0</v>
      </c>
      <c r="AG154" s="5">
        <v>5620471</v>
      </c>
      <c r="AH154" s="5">
        <v>0</v>
      </c>
      <c r="AI154" s="5">
        <v>7196983</v>
      </c>
    </row>
    <row r="155" spans="1:35" ht="18" customHeight="1">
      <c r="A155" s="5"/>
      <c r="D155" s="14">
        <v>213900</v>
      </c>
      <c r="E155" s="6" t="s">
        <v>137</v>
      </c>
      <c r="F155" s="40">
        <v>3102</v>
      </c>
      <c r="G155" s="6" t="s">
        <v>146</v>
      </c>
      <c r="H155" s="5">
        <v>56690746</v>
      </c>
      <c r="I155" s="211">
        <v>0</v>
      </c>
      <c r="J155" s="211">
        <v>0</v>
      </c>
      <c r="K155" s="15">
        <f t="shared" si="39"/>
        <v>56690746</v>
      </c>
      <c r="M155" s="676">
        <f>-SUMIF('1.0'!$D:$D,T_BS!D155,'1.0'!$N:$N)</f>
        <v>0</v>
      </c>
      <c r="N155" s="211">
        <f>-SUMIF('2.0'!$D:$D,T_BS!D155,'2.0'!$N:$N)</f>
        <v>0</v>
      </c>
      <c r="O155" s="7">
        <f>-ROUND(SUMIF('3.0'!$D:$D,T_BS!D155,'3.0'!$H:$H),0)</f>
        <v>0</v>
      </c>
      <c r="P155" s="210">
        <f>-ROUND(SUMIF('4.0'!$D:$D,T_BS!D155,'4.0'!$N:$N),0)</f>
        <v>0</v>
      </c>
      <c r="Q155" s="7">
        <f>-ROUND(SUMIF('5.0'!$D:$D,T_BS!D155,'5.0'!$N:$N),0)</f>
        <v>0</v>
      </c>
      <c r="R155" s="210">
        <f>-ROUND(SUMIF('6.0'!$D:$D,T_BS!D155,'6.0'!$N:$N),0)</f>
        <v>0</v>
      </c>
      <c r="S155" s="210">
        <f>-ROUND(SUMIF('7.0'!$D:$D,T_BS!D155,'7.0'!$I:$I),0)</f>
        <v>0</v>
      </c>
      <c r="T155" s="210">
        <f>-ROUND(SUMIF('8.0'!$D:$D,T_BS!D155,'8.0'!$H:$H),0)</f>
        <v>0</v>
      </c>
      <c r="U155" s="15">
        <f t="shared" si="40"/>
        <v>0</v>
      </c>
      <c r="W155" s="39">
        <f t="shared" si="41"/>
        <v>56690746</v>
      </c>
      <c r="Y155" s="5"/>
      <c r="AB155" s="39">
        <v>56798746</v>
      </c>
      <c r="AC155" s="710">
        <f t="shared" si="34"/>
        <v>-108000</v>
      </c>
      <c r="AE155" s="5">
        <v>-108000</v>
      </c>
      <c r="AF155" s="5">
        <v>0</v>
      </c>
      <c r="AG155" s="5">
        <v>0</v>
      </c>
      <c r="AH155" s="5">
        <v>0</v>
      </c>
      <c r="AI155" s="5">
        <v>-108000</v>
      </c>
    </row>
    <row r="156" spans="1:35" ht="18" customHeight="1">
      <c r="A156" s="5"/>
      <c r="D156" s="14">
        <v>213800</v>
      </c>
      <c r="E156" s="6" t="s">
        <v>137</v>
      </c>
      <c r="F156" s="40">
        <v>3102</v>
      </c>
      <c r="G156" s="6" t="s">
        <v>147</v>
      </c>
      <c r="H156" s="5">
        <v>74509253</v>
      </c>
      <c r="I156" s="211">
        <v>0</v>
      </c>
      <c r="J156" s="211">
        <v>0</v>
      </c>
      <c r="K156" s="15">
        <f t="shared" si="39"/>
        <v>74509253</v>
      </c>
      <c r="M156" s="676">
        <f>-SUMIF('1.0'!$D:$D,T_BS!D156,'1.0'!$N:$N)</f>
        <v>0</v>
      </c>
      <c r="N156" s="211">
        <f>-SUMIF('2.0'!$D:$D,T_BS!D156,'2.0'!$N:$N)</f>
        <v>0</v>
      </c>
      <c r="O156" s="7">
        <f>-ROUND(SUMIF('3.0'!$D:$D,T_BS!D156,'3.0'!$H:$H),0)</f>
        <v>0</v>
      </c>
      <c r="P156" s="210">
        <f>-ROUND(SUMIF('4.0'!$D:$D,T_BS!D156,'4.0'!$N:$N),0)</f>
        <v>0</v>
      </c>
      <c r="Q156" s="7">
        <f>-ROUND(SUMIF('5.0'!$D:$D,T_BS!D156,'5.0'!$N:$N),0)</f>
        <v>0</v>
      </c>
      <c r="R156" s="210">
        <f>-ROUND(SUMIF('6.0'!$D:$D,T_BS!D156,'6.0'!$N:$N),0)</f>
        <v>0</v>
      </c>
      <c r="S156" s="210">
        <f>-ROUND(SUMIF('7.0'!$D:$D,T_BS!D156,'7.0'!$I:$I),0)</f>
        <v>0</v>
      </c>
      <c r="T156" s="210">
        <f>-ROUND(SUMIF('8.0'!$D:$D,T_BS!D156,'8.0'!$H:$H),0)</f>
        <v>0</v>
      </c>
      <c r="U156" s="15">
        <f t="shared" si="40"/>
        <v>0</v>
      </c>
      <c r="W156" s="39">
        <f t="shared" si="41"/>
        <v>74509253</v>
      </c>
      <c r="Y156" s="5"/>
      <c r="AB156" s="39">
        <v>73806671</v>
      </c>
      <c r="AC156" s="710">
        <f t="shared" si="34"/>
        <v>702582</v>
      </c>
      <c r="AE156" s="5">
        <v>702582</v>
      </c>
      <c r="AF156" s="5">
        <v>0</v>
      </c>
      <c r="AG156" s="5">
        <v>0</v>
      </c>
      <c r="AH156" s="5">
        <v>0</v>
      </c>
      <c r="AI156" s="5">
        <v>702582</v>
      </c>
    </row>
    <row r="157" spans="1:35" ht="18" customHeight="1">
      <c r="A157" s="5"/>
      <c r="D157" s="14">
        <v>213101</v>
      </c>
      <c r="E157" s="6" t="s">
        <v>137</v>
      </c>
      <c r="F157" s="40">
        <v>3102</v>
      </c>
      <c r="G157" s="6" t="s">
        <v>148</v>
      </c>
      <c r="H157" s="5">
        <v>0</v>
      </c>
      <c r="I157" s="211">
        <v>0</v>
      </c>
      <c r="J157" s="211">
        <v>0</v>
      </c>
      <c r="K157" s="15">
        <f t="shared" si="39"/>
        <v>0</v>
      </c>
      <c r="M157" s="676">
        <f>-SUMIF('1.0'!$D:$D,T_BS!D157,'1.0'!$N:$N)</f>
        <v>0</v>
      </c>
      <c r="N157" s="211">
        <f>-SUMIF('2.0'!$D:$D,T_BS!D157,'2.0'!$N:$N)</f>
        <v>0</v>
      </c>
      <c r="O157" s="7">
        <f>-ROUND(SUMIF('3.0'!$D:$D,T_BS!D157,'3.0'!$H:$H),0)</f>
        <v>0</v>
      </c>
      <c r="P157" s="210">
        <f>-ROUND(SUMIF('4.0'!$D:$D,T_BS!D157,'4.0'!$N:$N),0)</f>
        <v>0</v>
      </c>
      <c r="Q157" s="7">
        <f>-ROUND(SUMIF('5.0'!$D:$D,T_BS!D157,'5.0'!$N:$N),0)</f>
        <v>0</v>
      </c>
      <c r="R157" s="210">
        <f>-ROUND(SUMIF('6.0'!$D:$D,T_BS!D157,'6.0'!$N:$N),0)</f>
        <v>0</v>
      </c>
      <c r="S157" s="210">
        <f>-ROUND(SUMIF('7.0'!$D:$D,T_BS!D157,'7.0'!$I:$I),0)</f>
        <v>0</v>
      </c>
      <c r="T157" s="210">
        <f>-ROUND(SUMIF('8.0'!$D:$D,T_BS!D157,'8.0'!$H:$H),0)</f>
        <v>0</v>
      </c>
      <c r="U157" s="15">
        <f t="shared" si="40"/>
        <v>0</v>
      </c>
      <c r="W157" s="39">
        <f t="shared" si="41"/>
        <v>0</v>
      </c>
      <c r="Y157" s="5"/>
      <c r="AB157" s="39">
        <v>0</v>
      </c>
      <c r="AC157" s="710">
        <f t="shared" si="34"/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 ht="18" customHeight="1">
      <c r="A158" s="5"/>
      <c r="D158" s="14">
        <v>213200</v>
      </c>
      <c r="E158" s="6" t="s">
        <v>137</v>
      </c>
      <c r="F158" s="40">
        <v>3102</v>
      </c>
      <c r="G158" s="6" t="s">
        <v>149</v>
      </c>
      <c r="H158" s="5">
        <v>80867767</v>
      </c>
      <c r="I158" s="211">
        <v>0</v>
      </c>
      <c r="J158" s="211">
        <v>0</v>
      </c>
      <c r="K158" s="15">
        <f t="shared" si="39"/>
        <v>80867767</v>
      </c>
      <c r="M158" s="676">
        <f>-SUMIF('1.0'!$D:$D,T_BS!D158,'1.0'!$N:$N)</f>
        <v>0</v>
      </c>
      <c r="N158" s="211">
        <f>-SUMIF('2.0'!$D:$D,T_BS!D158,'2.0'!$N:$N)</f>
        <v>0</v>
      </c>
      <c r="O158" s="7">
        <f>-ROUND(SUMIF('3.0'!$D:$D,T_BS!D158,'3.0'!$H:$H),0)</f>
        <v>0</v>
      </c>
      <c r="P158" s="210">
        <f>-ROUND(SUMIF('4.0'!$D:$D,T_BS!D158,'4.0'!$N:$N),0)</f>
        <v>0</v>
      </c>
      <c r="Q158" s="7">
        <f>-ROUND(SUMIF('5.0'!$D:$D,T_BS!D158,'5.0'!$N:$N),0)</f>
        <v>0</v>
      </c>
      <c r="R158" s="210">
        <f>-ROUND(SUMIF('6.0'!$D:$D,T_BS!D158,'6.0'!$N:$N),0)</f>
        <v>0</v>
      </c>
      <c r="S158" s="210">
        <f>-ROUND(SUMIF('7.0'!$D:$D,T_BS!D158,'7.0'!$I:$I),0)</f>
        <v>0</v>
      </c>
      <c r="T158" s="210">
        <f>-ROUND(SUMIF('8.0'!$D:$D,T_BS!D158,'8.0'!$H:$H),0)</f>
        <v>0</v>
      </c>
      <c r="U158" s="15">
        <f t="shared" si="40"/>
        <v>0</v>
      </c>
      <c r="W158" s="39">
        <f t="shared" si="41"/>
        <v>80867767</v>
      </c>
      <c r="Y158" s="5"/>
      <c r="AB158" s="39">
        <v>380867767</v>
      </c>
      <c r="AC158" s="710">
        <f t="shared" si="34"/>
        <v>-300000000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 ht="18" customHeight="1">
      <c r="A159" s="5"/>
      <c r="D159" s="14">
        <v>217900</v>
      </c>
      <c r="E159" s="6" t="s">
        <v>137</v>
      </c>
      <c r="F159" s="40">
        <v>3103</v>
      </c>
      <c r="G159" s="6" t="s">
        <v>150</v>
      </c>
      <c r="H159" s="5">
        <v>1588352954</v>
      </c>
      <c r="I159" s="211">
        <v>0</v>
      </c>
      <c r="J159" s="211">
        <v>0</v>
      </c>
      <c r="K159" s="15">
        <f t="shared" si="39"/>
        <v>1588352954</v>
      </c>
      <c r="M159" s="676">
        <f>-SUMIF('1.0'!$D:$D,T_BS!D159,'1.0'!$N:$N)</f>
        <v>0</v>
      </c>
      <c r="N159" s="211">
        <f>-SUMIF('2.0'!$D:$D,T_BS!D159,'2.0'!$N:$N)</f>
        <v>0</v>
      </c>
      <c r="O159" s="7">
        <f>-ROUND(SUMIF('3.0'!$D:$D,T_BS!D159,'3.0'!$H:$H),0)</f>
        <v>0</v>
      </c>
      <c r="P159" s="210">
        <f>-ROUND(SUMIF('4.0'!$D:$D,T_BS!D159,'4.0'!$N:$N),0)</f>
        <v>0</v>
      </c>
      <c r="Q159" s="7">
        <f>-ROUND(SUMIF('5.0'!$D:$D,T_BS!D159,'5.0'!$N:$N),0)</f>
        <v>0</v>
      </c>
      <c r="R159" s="210">
        <f>-ROUND(SUMIF('6.0'!$D:$D,T_BS!D159,'6.0'!$N:$N),0)</f>
        <v>0</v>
      </c>
      <c r="S159" s="210">
        <f>-ROUND(SUMIF('7.0'!$D:$D,T_BS!D159,'7.0'!$I:$I),0)</f>
        <v>0</v>
      </c>
      <c r="T159" s="210">
        <f>-ROUND(SUMIF('8.0'!$D:$D,T_BS!D159,'8.0'!$H:$H),0)</f>
        <v>0</v>
      </c>
      <c r="U159" s="15">
        <f t="shared" si="40"/>
        <v>0</v>
      </c>
      <c r="W159" s="39">
        <f t="shared" si="41"/>
        <v>1588352954</v>
      </c>
      <c r="Y159" s="5"/>
      <c r="AB159" s="39">
        <v>825352954</v>
      </c>
      <c r="AC159" s="710">
        <f t="shared" si="34"/>
        <v>763000000</v>
      </c>
      <c r="AE159" s="5">
        <v>-69000000</v>
      </c>
      <c r="AF159" s="5">
        <v>0</v>
      </c>
      <c r="AG159" s="5">
        <v>0</v>
      </c>
      <c r="AH159" s="5">
        <v>0</v>
      </c>
      <c r="AI159" s="5">
        <v>-69000000</v>
      </c>
    </row>
    <row r="160" spans="1:35" ht="18" customHeight="1">
      <c r="A160" s="5"/>
      <c r="D160" s="14">
        <v>217200</v>
      </c>
      <c r="E160" s="6" t="s">
        <v>137</v>
      </c>
      <c r="F160" s="40">
        <v>3103</v>
      </c>
      <c r="G160" s="6" t="s">
        <v>151</v>
      </c>
      <c r="H160" s="5">
        <v>176235430</v>
      </c>
      <c r="I160" s="211">
        <v>6671182</v>
      </c>
      <c r="J160" s="211">
        <v>23746184</v>
      </c>
      <c r="K160" s="15">
        <f t="shared" si="39"/>
        <v>206652796</v>
      </c>
      <c r="M160" s="676">
        <f>-SUMIF('1.0'!$D:$D,T_BS!D160,'1.0'!$N:$N)</f>
        <v>0</v>
      </c>
      <c r="N160" s="211">
        <f>-SUMIF('2.0'!$D:$D,T_BS!D160,'2.0'!$N:$N)</f>
        <v>0</v>
      </c>
      <c r="O160" s="7">
        <f>-ROUND(SUMIF('3.0'!$D:$D,T_BS!D160,'3.0'!$H:$H),0)</f>
        <v>-12497588</v>
      </c>
      <c r="P160" s="210">
        <f>-ROUND(SUMIF('4.0'!$D:$D,T_BS!D160,'4.0'!$N:$N),0)</f>
        <v>0</v>
      </c>
      <c r="Q160" s="7">
        <f>-ROUND(SUMIF('5.0'!$D:$D,T_BS!D160,'5.0'!$N:$N),0)</f>
        <v>0</v>
      </c>
      <c r="R160" s="210">
        <f>-ROUND(SUMIF('6.0'!$D:$D,T_BS!D160,'6.0'!$N:$N),0)</f>
        <v>0</v>
      </c>
      <c r="S160" s="210">
        <f>-ROUND(SUMIF('7.0'!$D:$D,T_BS!D160,'7.0'!$I:$I),0)</f>
        <v>0</v>
      </c>
      <c r="T160" s="210">
        <f>-ROUND(SUMIF('8.0'!$D:$D,T_BS!D160,'8.0'!$H:$H),0)</f>
        <v>0</v>
      </c>
      <c r="U160" s="15">
        <f t="shared" si="40"/>
        <v>-12497588</v>
      </c>
      <c r="W160" s="39">
        <f t="shared" si="41"/>
        <v>194155208</v>
      </c>
      <c r="Y160" s="5"/>
      <c r="AB160" s="39">
        <v>180496097</v>
      </c>
      <c r="AC160" s="710">
        <f t="shared" si="34"/>
        <v>13659111</v>
      </c>
      <c r="AE160" s="5">
        <v>2410515</v>
      </c>
      <c r="AF160" s="5">
        <v>0</v>
      </c>
      <c r="AG160" s="5">
        <v>11248596</v>
      </c>
      <c r="AH160" s="5">
        <v>0</v>
      </c>
      <c r="AI160" s="5">
        <v>13659111</v>
      </c>
    </row>
    <row r="161" spans="1:35" ht="18" customHeight="1">
      <c r="A161" s="5"/>
      <c r="D161" s="14">
        <v>217300</v>
      </c>
      <c r="E161" s="6" t="s">
        <v>137</v>
      </c>
      <c r="F161" s="40">
        <v>3103</v>
      </c>
      <c r="G161" s="6" t="s">
        <v>152</v>
      </c>
      <c r="H161" s="5">
        <v>6429</v>
      </c>
      <c r="I161" s="211">
        <v>0</v>
      </c>
      <c r="J161" s="211">
        <v>0</v>
      </c>
      <c r="K161" s="15">
        <f t="shared" si="39"/>
        <v>6429</v>
      </c>
      <c r="M161" s="676">
        <f>-SUMIF('1.0'!$D:$D,T_BS!D161,'1.0'!$N:$N)</f>
        <v>0</v>
      </c>
      <c r="N161" s="211">
        <f>-SUMIF('2.0'!$D:$D,T_BS!D161,'2.0'!$N:$N)</f>
        <v>0</v>
      </c>
      <c r="O161" s="7">
        <f>-ROUND(SUMIF('3.0'!$D:$D,T_BS!D161,'3.0'!$H:$H),0)</f>
        <v>0</v>
      </c>
      <c r="P161" s="210">
        <f>-ROUND(SUMIF('4.0'!$D:$D,T_BS!D161,'4.0'!$N:$N),0)</f>
        <v>0</v>
      </c>
      <c r="Q161" s="7">
        <f>-ROUND(SUMIF('5.0'!$D:$D,T_BS!D161,'5.0'!$N:$N),0)</f>
        <v>0</v>
      </c>
      <c r="R161" s="210">
        <f>-ROUND(SUMIF('6.0'!$D:$D,T_BS!D161,'6.0'!$N:$N),0)</f>
        <v>0</v>
      </c>
      <c r="S161" s="210">
        <f>-ROUND(SUMIF('7.0'!$D:$D,T_BS!D161,'7.0'!$I:$I),0)</f>
        <v>0</v>
      </c>
      <c r="T161" s="210">
        <f>-ROUND(SUMIF('8.0'!$D:$D,T_BS!D161,'8.0'!$H:$H),0)</f>
        <v>0</v>
      </c>
      <c r="U161" s="15">
        <f t="shared" si="40"/>
        <v>0</v>
      </c>
      <c r="W161" s="39">
        <f t="shared" si="41"/>
        <v>6429</v>
      </c>
      <c r="Y161" s="5"/>
      <c r="AB161" s="39">
        <v>6429</v>
      </c>
      <c r="AC161" s="710">
        <f t="shared" si="34"/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 ht="18" customHeight="1">
      <c r="A162" s="5"/>
      <c r="D162" s="14">
        <v>217400</v>
      </c>
      <c r="E162" s="6" t="s">
        <v>137</v>
      </c>
      <c r="F162" s="40">
        <v>3103</v>
      </c>
      <c r="G162" s="6" t="s">
        <v>153</v>
      </c>
      <c r="H162" s="5">
        <v>30282251</v>
      </c>
      <c r="I162" s="211">
        <v>0</v>
      </c>
      <c r="J162" s="211">
        <v>0</v>
      </c>
      <c r="K162" s="15">
        <f t="shared" si="39"/>
        <v>30282251</v>
      </c>
      <c r="M162" s="676">
        <f>-SUMIF('1.0'!$D:$D,T_BS!D162,'1.0'!$N:$N)</f>
        <v>0</v>
      </c>
      <c r="N162" s="211">
        <f>-SUMIF('2.0'!$D:$D,T_BS!D162,'2.0'!$N:$N)</f>
        <v>0</v>
      </c>
      <c r="O162" s="7">
        <f>-ROUND(SUMIF('3.0'!$D:$D,T_BS!D162,'3.0'!$H:$H),0)</f>
        <v>0</v>
      </c>
      <c r="P162" s="210">
        <f>-ROUND(SUMIF('4.0'!$D:$D,T_BS!D162,'4.0'!$N:$N),0)</f>
        <v>0</v>
      </c>
      <c r="Q162" s="7">
        <f>-ROUND(SUMIF('5.0'!$D:$D,T_BS!D162,'5.0'!$N:$N),0)</f>
        <v>0</v>
      </c>
      <c r="R162" s="210">
        <f>-ROUND(SUMIF('6.0'!$D:$D,T_BS!D162,'6.0'!$N:$N),0)</f>
        <v>0</v>
      </c>
      <c r="S162" s="210">
        <f>-ROUND(SUMIF('7.0'!$D:$D,T_BS!D162,'7.0'!$I:$I),0)</f>
        <v>0</v>
      </c>
      <c r="T162" s="210">
        <f>-ROUND(SUMIF('8.0'!$D:$D,T_BS!D162,'8.0'!$H:$H),0)</f>
        <v>0</v>
      </c>
      <c r="U162" s="15">
        <f t="shared" si="40"/>
        <v>0</v>
      </c>
      <c r="W162" s="39">
        <f t="shared" si="41"/>
        <v>30282251</v>
      </c>
      <c r="Y162" s="5"/>
      <c r="AB162" s="39">
        <v>238685216</v>
      </c>
      <c r="AC162" s="710">
        <f t="shared" si="34"/>
        <v>-208402965</v>
      </c>
      <c r="AE162" s="5">
        <v>-208402965</v>
      </c>
      <c r="AF162" s="5">
        <v>0</v>
      </c>
      <c r="AG162" s="5">
        <v>0</v>
      </c>
      <c r="AH162" s="5">
        <v>0</v>
      </c>
      <c r="AI162" s="5">
        <v>-208402965</v>
      </c>
    </row>
    <row r="163" spans="1:35" ht="18" customHeight="1">
      <c r="A163" s="5"/>
      <c r="D163" s="14">
        <v>217500</v>
      </c>
      <c r="E163" s="6" t="s">
        <v>137</v>
      </c>
      <c r="F163" s="40">
        <v>3103</v>
      </c>
      <c r="G163" s="6" t="s">
        <v>154</v>
      </c>
      <c r="H163" s="5">
        <v>769571220</v>
      </c>
      <c r="I163" s="211">
        <v>0</v>
      </c>
      <c r="J163" s="211">
        <v>0</v>
      </c>
      <c r="K163" s="15">
        <f t="shared" si="39"/>
        <v>769571220</v>
      </c>
      <c r="M163" s="676">
        <f>-SUMIF('1.0'!$D:$D,T_BS!D163,'1.0'!$N:$N)</f>
        <v>0</v>
      </c>
      <c r="N163" s="211">
        <f>-SUMIF('2.0'!$D:$D,T_BS!D163,'2.0'!$N:$N)</f>
        <v>0</v>
      </c>
      <c r="O163" s="7">
        <f>-ROUND(SUMIF('3.0'!$D:$D,T_BS!D163,'3.0'!$H:$H),0)</f>
        <v>0</v>
      </c>
      <c r="P163" s="210">
        <f>-ROUND(SUMIF('4.0'!$D:$D,T_BS!D163,'4.0'!$N:$N),0)</f>
        <v>0</v>
      </c>
      <c r="Q163" s="7">
        <f>-ROUND(SUMIF('5.0'!$D:$D,T_BS!D163,'5.0'!$N:$N),0)</f>
        <v>0</v>
      </c>
      <c r="R163" s="210">
        <f>-ROUND(SUMIF('6.0'!$D:$D,T_BS!D163,'6.0'!$N:$N),0)</f>
        <v>0</v>
      </c>
      <c r="S163" s="210">
        <f>-ROUND(SUMIF('7.0'!$D:$D,T_BS!D163,'7.0'!$I:$I),0)</f>
        <v>0</v>
      </c>
      <c r="T163" s="210">
        <f>-ROUND(SUMIF('8.0'!$D:$D,T_BS!D163,'8.0'!$H:$H),0)</f>
        <v>0</v>
      </c>
      <c r="U163" s="15">
        <f t="shared" si="40"/>
        <v>0</v>
      </c>
      <c r="W163" s="39">
        <f t="shared" si="41"/>
        <v>769571220</v>
      </c>
      <c r="Y163" s="5"/>
      <c r="AB163" s="39">
        <v>718824556</v>
      </c>
      <c r="AC163" s="710">
        <f t="shared" si="34"/>
        <v>50746664</v>
      </c>
      <c r="AE163" s="5">
        <v>58140400</v>
      </c>
      <c r="AF163" s="5">
        <v>0</v>
      </c>
      <c r="AG163" s="5">
        <v>-7393736</v>
      </c>
      <c r="AH163" s="5">
        <v>0</v>
      </c>
      <c r="AI163" s="5">
        <v>50746664</v>
      </c>
    </row>
    <row r="164" spans="1:35" ht="18" customHeight="1">
      <c r="A164" s="5"/>
      <c r="B164" s="276"/>
      <c r="D164" s="14" t="s">
        <v>1590</v>
      </c>
      <c r="E164" s="6" t="s">
        <v>137</v>
      </c>
      <c r="F164" s="40">
        <v>3103</v>
      </c>
      <c r="G164" s="6" t="s">
        <v>1591</v>
      </c>
      <c r="H164" s="5">
        <v>0</v>
      </c>
      <c r="I164" s="211">
        <v>0</v>
      </c>
      <c r="J164" s="211">
        <v>0</v>
      </c>
      <c r="K164" s="15">
        <f t="shared" si="39"/>
        <v>0</v>
      </c>
      <c r="M164" s="676">
        <f>-SUMIF('1.0'!$D:$D,T_BS!D164,'1.0'!$N:$N)</f>
        <v>0</v>
      </c>
      <c r="N164" s="211">
        <f>-SUMIF('2.0'!$D:$D,T_BS!D164,'2.0'!$N:$N)</f>
        <v>0</v>
      </c>
      <c r="O164" s="7">
        <f>-ROUND(SUMIF('3.0'!$D:$D,T_BS!D164,'3.0'!$H:$H),0)</f>
        <v>0</v>
      </c>
      <c r="P164" s="210">
        <f>-ROUND(SUMIF('4.0'!$D:$D,T_BS!D164,'4.0'!$N:$N),0)</f>
        <v>0</v>
      </c>
      <c r="Q164" s="7">
        <f>-ROUND(SUMIF('5.0'!$D:$D,T_BS!D164,'5.0'!$N:$N),0)</f>
        <v>0</v>
      </c>
      <c r="R164" s="210">
        <f>-ROUND(SUMIF('6.0'!$D:$D,T_BS!D164,'6.0'!$N:$N),0)</f>
        <v>0</v>
      </c>
      <c r="S164" s="210">
        <f>-ROUND(SUMIF('7.0'!$D:$D,T_BS!D164,'7.0'!$I:$I),0)</f>
        <v>0</v>
      </c>
      <c r="T164" s="210">
        <f>-ROUND(SUMIF('8.0'!$D:$D,T_BS!D164,'8.0'!$H:$H),0)</f>
        <v>0</v>
      </c>
      <c r="U164" s="15">
        <f t="shared" si="40"/>
        <v>0</v>
      </c>
      <c r="W164" s="39">
        <f t="shared" si="41"/>
        <v>0</v>
      </c>
      <c r="Y164" s="5"/>
      <c r="AB164" s="39">
        <v>0</v>
      </c>
      <c r="AC164" s="710">
        <f t="shared" si="34"/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 ht="18" customHeight="1">
      <c r="A165" s="5"/>
      <c r="D165" s="14">
        <v>223150</v>
      </c>
      <c r="E165" s="6" t="s">
        <v>137</v>
      </c>
      <c r="F165" s="40">
        <v>3401</v>
      </c>
      <c r="G165" s="6" t="s">
        <v>155</v>
      </c>
      <c r="H165" s="5">
        <v>0</v>
      </c>
      <c r="I165" s="211">
        <v>0</v>
      </c>
      <c r="J165" s="211">
        <v>0</v>
      </c>
      <c r="K165" s="15">
        <f t="shared" si="39"/>
        <v>0</v>
      </c>
      <c r="M165" s="676">
        <f>-SUMIF('1.0'!$D:$D,T_BS!D165,'1.0'!$N:$N)</f>
        <v>0</v>
      </c>
      <c r="N165" s="211">
        <f>-SUMIF('2.0'!$D:$D,T_BS!D165,'2.0'!$N:$N)</f>
        <v>0</v>
      </c>
      <c r="O165" s="7">
        <f>-ROUND(SUMIF('3.0'!$D:$D,T_BS!D165,'3.0'!$H:$H),0)</f>
        <v>0</v>
      </c>
      <c r="P165" s="210">
        <f>-ROUND(SUMIF('4.0'!$D:$D,T_BS!D165,'4.0'!$N:$N),0)</f>
        <v>0</v>
      </c>
      <c r="Q165" s="7">
        <f>-ROUND(SUMIF('5.0'!$D:$D,T_BS!D165,'5.0'!$N:$N),0)</f>
        <v>0</v>
      </c>
      <c r="R165" s="210">
        <f>-ROUND(SUMIF('6.0'!$D:$D,T_BS!D165,'6.0'!$N:$N),0)</f>
        <v>0</v>
      </c>
      <c r="S165" s="210">
        <f>-ROUND(SUMIF('7.0'!$D:$D,T_BS!D165,'7.0'!$I:$I),0)</f>
        <v>0</v>
      </c>
      <c r="T165" s="210">
        <f>-ROUND(SUMIF('8.0'!$D:$D,T_BS!D165,'8.0'!$H:$H),0)</f>
        <v>0</v>
      </c>
      <c r="U165" s="15">
        <f t="shared" si="40"/>
        <v>0</v>
      </c>
      <c r="W165" s="39">
        <f t="shared" si="41"/>
        <v>0</v>
      </c>
      <c r="Y165" s="5"/>
      <c r="AB165" s="39">
        <v>0</v>
      </c>
      <c r="AC165" s="710">
        <f t="shared" si="34"/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</row>
    <row r="166" spans="1:35" ht="18" customHeight="1">
      <c r="A166" s="5"/>
      <c r="D166" s="13"/>
      <c r="E166" s="34"/>
      <c r="F166" s="35"/>
      <c r="G166" s="34" t="s">
        <v>156</v>
      </c>
      <c r="H166" s="484">
        <f>SUM(H167:H172)</f>
        <v>0</v>
      </c>
      <c r="I166" s="417">
        <f>SUM(I167:I172)</f>
        <v>0</v>
      </c>
      <c r="J166" s="417">
        <f>SUM(J167:J172)</f>
        <v>527130000</v>
      </c>
      <c r="K166" s="645">
        <f>SUM(K167:K172)</f>
        <v>527130000</v>
      </c>
      <c r="M166" s="675">
        <f t="shared" ref="M166:R166" si="42">SUM(M167:M172)</f>
        <v>0</v>
      </c>
      <c r="N166" s="417">
        <f t="shared" si="42"/>
        <v>0</v>
      </c>
      <c r="O166" s="417">
        <f t="shared" si="42"/>
        <v>-527130000</v>
      </c>
      <c r="P166" s="417">
        <f t="shared" si="42"/>
        <v>0</v>
      </c>
      <c r="Q166" s="417">
        <f t="shared" si="42"/>
        <v>0</v>
      </c>
      <c r="R166" s="417">
        <f t="shared" si="42"/>
        <v>0</v>
      </c>
      <c r="S166" s="417">
        <f>SUM(S167:S172)</f>
        <v>0</v>
      </c>
      <c r="T166" s="417">
        <f>SUM(T167:T172)</f>
        <v>0</v>
      </c>
      <c r="U166" s="645">
        <f>SUM(U167:U172)</f>
        <v>-527130000</v>
      </c>
      <c r="W166" s="36">
        <f>SUM(W167:W172)</f>
        <v>0</v>
      </c>
      <c r="Y166" s="5"/>
      <c r="AB166" s="36">
        <v>0</v>
      </c>
      <c r="AC166" s="710">
        <f t="shared" si="34"/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 ht="18" customHeight="1">
      <c r="A167" s="5"/>
      <c r="D167" s="14">
        <v>212300</v>
      </c>
      <c r="E167" s="6" t="s">
        <v>156</v>
      </c>
      <c r="F167" s="40"/>
      <c r="G167" s="6" t="s">
        <v>157</v>
      </c>
      <c r="H167" s="5">
        <v>0</v>
      </c>
      <c r="I167" s="211">
        <v>0</v>
      </c>
      <c r="J167" s="211">
        <v>0</v>
      </c>
      <c r="K167" s="15">
        <f t="shared" ref="K167:K172" si="43">SUM(H167:J167)</f>
        <v>0</v>
      </c>
      <c r="M167" s="676">
        <f>-SUMIF('1.0'!$D:$D,T_BS!D167,'1.0'!$N:$N)</f>
        <v>0</v>
      </c>
      <c r="N167" s="211">
        <f>-SUMIF('2.0'!$D:$D,T_BS!D167,'2.0'!$N:$N)</f>
        <v>0</v>
      </c>
      <c r="O167" s="7">
        <f>-ROUND(SUMIF('3.0'!$D:$D,T_BS!D167,'3.0'!$H:$H),0)</f>
        <v>0</v>
      </c>
      <c r="P167" s="210">
        <f>-ROUND(SUMIF('4.0'!$D:$D,T_BS!D167,'4.0'!$N:$N),0)</f>
        <v>0</v>
      </c>
      <c r="Q167" s="7">
        <f>-ROUND(SUMIF('5.0'!$D:$D,T_BS!D167,'5.0'!$N:$N),0)</f>
        <v>0</v>
      </c>
      <c r="R167" s="210">
        <f>-ROUND(SUMIF('6.0'!$D:$D,T_BS!D167,'6.0'!$N:$N),0)</f>
        <v>0</v>
      </c>
      <c r="S167" s="210">
        <f>-ROUND(SUMIF('7.0'!$D:$D,T_BS!D167,'7.0'!$I:$I),0)</f>
        <v>0</v>
      </c>
      <c r="T167" s="210">
        <f>-ROUND(SUMIF('8.0'!$D:$D,T_BS!D167,'8.0'!$H:$H),0)</f>
        <v>0</v>
      </c>
      <c r="U167" s="15">
        <f t="shared" ref="U167:U204" si="44">SUM(M167:T167)</f>
        <v>0</v>
      </c>
      <c r="W167" s="39">
        <f t="shared" ref="W167:W172" si="45">U167+K167</f>
        <v>0</v>
      </c>
      <c r="Y167" s="5"/>
      <c r="AB167" s="39">
        <v>0</v>
      </c>
      <c r="AC167" s="710">
        <f t="shared" si="34"/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 ht="18" customHeight="1">
      <c r="A168" s="5"/>
      <c r="B168" s="276"/>
      <c r="D168" s="658">
        <v>212500</v>
      </c>
      <c r="E168" s="38" t="s">
        <v>156</v>
      </c>
      <c r="F168" s="40"/>
      <c r="G168" s="6" t="s">
        <v>1603</v>
      </c>
      <c r="H168" s="5">
        <v>0</v>
      </c>
      <c r="I168" s="211">
        <v>0</v>
      </c>
      <c r="J168" s="211">
        <v>527130000</v>
      </c>
      <c r="K168" s="15">
        <f t="shared" si="43"/>
        <v>527130000</v>
      </c>
      <c r="M168" s="676">
        <f>-SUMIF('1.0'!$D:$D,T_BS!D168,'1.0'!$N:$N)</f>
        <v>0</v>
      </c>
      <c r="N168" s="211">
        <f>-SUMIF('2.0'!$D:$D,T_BS!D168,'2.0'!$N:$N)</f>
        <v>0</v>
      </c>
      <c r="O168" s="7">
        <f>-ROUND(SUMIF('3.0'!$D:$D,T_BS!D168,'3.0'!$H:$H),0)</f>
        <v>-527130000</v>
      </c>
      <c r="P168" s="210">
        <f>-ROUND(SUMIF('4.0'!$D:$D,T_BS!D168,'4.0'!$N:$N),0)</f>
        <v>0</v>
      </c>
      <c r="Q168" s="7">
        <f>-ROUND(SUMIF('5.0'!$D:$D,T_BS!D168,'5.0'!$N:$N),0)</f>
        <v>0</v>
      </c>
      <c r="R168" s="210">
        <f>-ROUND(SUMIF('6.0'!$D:$D,T_BS!D168,'6.0'!$N:$N),0)</f>
        <v>0</v>
      </c>
      <c r="S168" s="210">
        <f>-ROUND(SUMIF('7.0'!$D:$D,T_BS!D168,'7.0'!$I:$I),0)</f>
        <v>0</v>
      </c>
      <c r="T168" s="210">
        <f>-ROUND(SUMIF('8.0'!$D:$D,T_BS!D168,'8.0'!$H:$H),0)</f>
        <v>0</v>
      </c>
      <c r="U168" s="15">
        <f t="shared" si="44"/>
        <v>-527130000</v>
      </c>
      <c r="W168" s="39">
        <f t="shared" si="45"/>
        <v>0</v>
      </c>
      <c r="Y168" s="5"/>
      <c r="AB168" s="39">
        <v>0</v>
      </c>
      <c r="AC168" s="710">
        <f t="shared" si="34"/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 ht="18" customHeight="1">
      <c r="A169" s="5"/>
      <c r="D169" s="658">
        <v>230320</v>
      </c>
      <c r="E169" s="38" t="s">
        <v>156</v>
      </c>
      <c r="F169" s="40">
        <v>3501</v>
      </c>
      <c r="G169" s="6" t="s">
        <v>158</v>
      </c>
      <c r="H169" s="5">
        <v>0</v>
      </c>
      <c r="I169" s="211">
        <v>0</v>
      </c>
      <c r="J169" s="211">
        <v>0</v>
      </c>
      <c r="K169" s="15">
        <f t="shared" si="43"/>
        <v>0</v>
      </c>
      <c r="M169" s="676">
        <f>-SUMIF('1.0'!$D:$D,T_BS!D169,'1.0'!$N:$N)</f>
        <v>0</v>
      </c>
      <c r="N169" s="211">
        <f>-SUMIF('2.0'!$D:$D,T_BS!D169,'2.0'!$N:$N)</f>
        <v>0</v>
      </c>
      <c r="O169" s="7">
        <f>-ROUND(SUMIF('3.0'!$D:$D,T_BS!D169,'3.0'!$H:$H),0)</f>
        <v>0</v>
      </c>
      <c r="P169" s="210">
        <f>-ROUND(SUMIF('4.0'!$D:$D,T_BS!D169,'4.0'!$N:$N),0)</f>
        <v>0</v>
      </c>
      <c r="Q169" s="7">
        <f>-ROUND(SUMIF('5.0'!$D:$D,T_BS!D169,'5.0'!$N:$N),0)</f>
        <v>0</v>
      </c>
      <c r="R169" s="210">
        <f>-ROUND(SUMIF('6.0'!$D:$D,T_BS!D169,'6.0'!$N:$N),0)</f>
        <v>0</v>
      </c>
      <c r="S169" s="210">
        <f>-ROUND(SUMIF('7.0'!$D:$D,T_BS!D169,'7.0'!$I:$I),0)</f>
        <v>0</v>
      </c>
      <c r="T169" s="210">
        <f>-ROUND(SUMIF('8.0'!$D:$D,T_BS!D169,'8.0'!$H:$H),0)</f>
        <v>0</v>
      </c>
      <c r="U169" s="15">
        <f t="shared" si="44"/>
        <v>0</v>
      </c>
      <c r="W169" s="39">
        <f t="shared" si="45"/>
        <v>0</v>
      </c>
      <c r="Y169" s="5"/>
      <c r="AB169" s="39">
        <v>0</v>
      </c>
      <c r="AC169" s="710">
        <f t="shared" si="34"/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 ht="18" customHeight="1">
      <c r="A170" s="5"/>
      <c r="D170" s="14">
        <v>230321</v>
      </c>
      <c r="E170" s="6" t="s">
        <v>156</v>
      </c>
      <c r="F170" s="40">
        <v>3502</v>
      </c>
      <c r="G170" s="6" t="s">
        <v>159</v>
      </c>
      <c r="H170" s="5">
        <v>0</v>
      </c>
      <c r="I170" s="211">
        <v>0</v>
      </c>
      <c r="J170" s="211">
        <v>0</v>
      </c>
      <c r="K170" s="15">
        <f t="shared" si="43"/>
        <v>0</v>
      </c>
      <c r="M170" s="676">
        <f>-SUMIF('1.0'!$D:$D,T_BS!D170,'1.0'!$N:$N)</f>
        <v>0</v>
      </c>
      <c r="N170" s="211">
        <f>-SUMIF('2.0'!$D:$D,T_BS!D170,'2.0'!$N:$N)</f>
        <v>0</v>
      </c>
      <c r="O170" s="7">
        <f>-ROUND(SUMIF('3.0'!$D:$D,T_BS!D170,'3.0'!$H:$H),0)</f>
        <v>0</v>
      </c>
      <c r="P170" s="210">
        <f>-ROUND(SUMIF('4.0'!$D:$D,T_BS!D170,'4.0'!$N:$N),0)</f>
        <v>0</v>
      </c>
      <c r="Q170" s="7">
        <f>-ROUND(SUMIF('5.0'!$D:$D,T_BS!D170,'5.0'!$N:$N),0)</f>
        <v>0</v>
      </c>
      <c r="R170" s="210">
        <f>-ROUND(SUMIF('6.0'!$D:$D,T_BS!D170,'6.0'!$N:$N),0)</f>
        <v>0</v>
      </c>
      <c r="S170" s="210">
        <f>-ROUND(SUMIF('7.0'!$D:$D,T_BS!D170,'7.0'!$I:$I),0)</f>
        <v>0</v>
      </c>
      <c r="T170" s="210">
        <f>-ROUND(SUMIF('8.0'!$D:$D,T_BS!D170,'8.0'!$H:$H),0)</f>
        <v>0</v>
      </c>
      <c r="U170" s="15">
        <f t="shared" si="44"/>
        <v>0</v>
      </c>
      <c r="W170" s="39">
        <f t="shared" si="45"/>
        <v>0</v>
      </c>
      <c r="Y170" s="5"/>
      <c r="AB170" s="39">
        <v>0</v>
      </c>
      <c r="AC170" s="710">
        <f t="shared" si="34"/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 ht="18" customHeight="1">
      <c r="A171" s="5"/>
      <c r="D171" s="14">
        <v>230322</v>
      </c>
      <c r="E171" s="6" t="s">
        <v>156</v>
      </c>
      <c r="F171" s="40">
        <v>3503</v>
      </c>
      <c r="G171" s="6" t="s">
        <v>160</v>
      </c>
      <c r="H171" s="5">
        <v>0</v>
      </c>
      <c r="I171" s="211">
        <v>0</v>
      </c>
      <c r="J171" s="211">
        <v>0</v>
      </c>
      <c r="K171" s="15">
        <f t="shared" si="43"/>
        <v>0</v>
      </c>
      <c r="M171" s="676">
        <f>-SUMIF('1.0'!$D:$D,T_BS!D171,'1.0'!$N:$N)</f>
        <v>0</v>
      </c>
      <c r="N171" s="211">
        <f>-SUMIF('2.0'!$D:$D,T_BS!D171,'2.0'!$N:$N)</f>
        <v>0</v>
      </c>
      <c r="O171" s="7">
        <f>-ROUND(SUMIF('3.0'!$D:$D,T_BS!D171,'3.0'!$H:$H),0)</f>
        <v>0</v>
      </c>
      <c r="P171" s="210">
        <f>-ROUND(SUMIF('4.0'!$D:$D,T_BS!D171,'4.0'!$N:$N),0)</f>
        <v>0</v>
      </c>
      <c r="Q171" s="7">
        <f>-ROUND(SUMIF('5.0'!$D:$D,T_BS!D171,'5.0'!$N:$N),0)</f>
        <v>0</v>
      </c>
      <c r="R171" s="210">
        <f>-ROUND(SUMIF('6.0'!$D:$D,T_BS!D171,'6.0'!$N:$N),0)</f>
        <v>0</v>
      </c>
      <c r="S171" s="210">
        <f>-ROUND(SUMIF('7.0'!$D:$D,T_BS!D171,'7.0'!$I:$I),0)</f>
        <v>0</v>
      </c>
      <c r="T171" s="210">
        <f>-ROUND(SUMIF('8.0'!$D:$D,T_BS!D171,'8.0'!$H:$H),0)</f>
        <v>0</v>
      </c>
      <c r="U171" s="15">
        <f t="shared" si="44"/>
        <v>0</v>
      </c>
      <c r="W171" s="39">
        <f t="shared" si="45"/>
        <v>0</v>
      </c>
      <c r="Y171" s="5"/>
      <c r="AB171" s="39">
        <v>0</v>
      </c>
      <c r="AC171" s="710">
        <f t="shared" si="34"/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 ht="18" customHeight="1">
      <c r="A172" s="5"/>
      <c r="D172" s="14">
        <v>230325</v>
      </c>
      <c r="E172" s="6" t="s">
        <v>156</v>
      </c>
      <c r="F172" s="40">
        <v>3502</v>
      </c>
      <c r="G172" s="6" t="s">
        <v>161</v>
      </c>
      <c r="H172" s="5">
        <v>0</v>
      </c>
      <c r="I172" s="211">
        <v>0</v>
      </c>
      <c r="J172" s="211">
        <v>0</v>
      </c>
      <c r="K172" s="15">
        <f t="shared" si="43"/>
        <v>0</v>
      </c>
      <c r="M172" s="676">
        <f>-SUMIF('1.0'!$D:$D,T_BS!D172,'1.0'!$N:$N)</f>
        <v>0</v>
      </c>
      <c r="N172" s="211">
        <f>-SUMIF('2.0'!$D:$D,T_BS!D172,'2.0'!$N:$N)</f>
        <v>0</v>
      </c>
      <c r="O172" s="7">
        <f>-ROUND(SUMIF('3.0'!$D:$D,T_BS!D172,'3.0'!$H:$H),0)</f>
        <v>0</v>
      </c>
      <c r="P172" s="210">
        <f>-ROUND(SUMIF('4.0'!$D:$D,T_BS!D172,'4.0'!$N:$N),0)</f>
        <v>0</v>
      </c>
      <c r="Q172" s="7">
        <f>-ROUND(SUMIF('5.0'!$D:$D,T_BS!D172,'5.0'!$N:$N),0)</f>
        <v>0</v>
      </c>
      <c r="R172" s="210">
        <f>-ROUND(SUMIF('6.0'!$D:$D,T_BS!D172,'6.0'!$N:$N),0)</f>
        <v>0</v>
      </c>
      <c r="S172" s="210">
        <f>-ROUND(SUMIF('7.0'!$D:$D,T_BS!D172,'7.0'!$I:$I),0)</f>
        <v>0</v>
      </c>
      <c r="T172" s="210">
        <f>-ROUND(SUMIF('8.0'!$D:$D,T_BS!D172,'8.0'!$H:$H),0)</f>
        <v>0</v>
      </c>
      <c r="U172" s="15">
        <f t="shared" si="44"/>
        <v>0</v>
      </c>
      <c r="W172" s="39">
        <f t="shared" si="45"/>
        <v>0</v>
      </c>
      <c r="Y172" s="5"/>
      <c r="AB172" s="39">
        <v>0</v>
      </c>
      <c r="AC172" s="710">
        <f t="shared" si="34"/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 ht="18" customHeight="1">
      <c r="A173" s="5"/>
      <c r="D173" s="13"/>
      <c r="E173" s="34"/>
      <c r="F173" s="35"/>
      <c r="G173" s="34" t="s">
        <v>162</v>
      </c>
      <c r="H173" s="484">
        <f>SUM(H174:H200)</f>
        <v>9071655790</v>
      </c>
      <c r="I173" s="417">
        <f>SUM(I174:I200)</f>
        <v>101261698</v>
      </c>
      <c r="J173" s="417">
        <f>SUM(J174:J200)</f>
        <v>21576063</v>
      </c>
      <c r="K173" s="645">
        <f>SUM(K174:K200)</f>
        <v>9194493551</v>
      </c>
      <c r="M173" s="675">
        <f t="shared" ref="M173:R173" si="46">SUM(M174:M200)</f>
        <v>0</v>
      </c>
      <c r="N173" s="417">
        <f t="shared" si="46"/>
        <v>0</v>
      </c>
      <c r="O173" s="417">
        <f t="shared" si="46"/>
        <v>0</v>
      </c>
      <c r="P173" s="417">
        <f t="shared" si="46"/>
        <v>0</v>
      </c>
      <c r="Q173" s="417">
        <f t="shared" si="46"/>
        <v>0</v>
      </c>
      <c r="R173" s="417">
        <f t="shared" si="46"/>
        <v>0</v>
      </c>
      <c r="S173" s="417">
        <f>SUM(S174:S200)</f>
        <v>0</v>
      </c>
      <c r="T173" s="417">
        <f>SUM(T174:T200)</f>
        <v>0</v>
      </c>
      <c r="U173" s="645">
        <f>SUM(U174:U200)</f>
        <v>0</v>
      </c>
      <c r="W173" s="36">
        <f>SUM(W174:W200)</f>
        <v>9194493551</v>
      </c>
      <c r="Y173" s="5"/>
      <c r="AB173" s="36">
        <v>9046816120</v>
      </c>
      <c r="AC173" s="710">
        <f t="shared" si="34"/>
        <v>147677431</v>
      </c>
      <c r="AE173" s="5">
        <v>-1713587</v>
      </c>
      <c r="AF173" s="5">
        <v>0</v>
      </c>
      <c r="AG173" s="5">
        <v>0</v>
      </c>
      <c r="AH173" s="5">
        <v>149391018</v>
      </c>
      <c r="AI173" s="5">
        <v>147677431</v>
      </c>
    </row>
    <row r="174" spans="1:35" ht="18" customHeight="1">
      <c r="A174" s="5"/>
      <c r="D174" s="14">
        <v>214100</v>
      </c>
      <c r="E174" s="6" t="s">
        <v>162</v>
      </c>
      <c r="F174" s="711">
        <v>3402</v>
      </c>
      <c r="G174" s="6" t="s">
        <v>163</v>
      </c>
      <c r="H174" s="5">
        <v>0</v>
      </c>
      <c r="I174" s="211">
        <v>0</v>
      </c>
      <c r="J174" s="211">
        <v>0</v>
      </c>
      <c r="K174" s="15">
        <f t="shared" ref="K174:K200" si="47">SUM(H174:J174)</f>
        <v>0</v>
      </c>
      <c r="M174" s="676">
        <f>-SUMIF('1.0'!$D:$D,T_BS!D174,'1.0'!$N:$N)</f>
        <v>0</v>
      </c>
      <c r="N174" s="211">
        <f>-SUMIF('2.0'!$D:$D,T_BS!D174,'2.0'!$N:$N)</f>
        <v>0</v>
      </c>
      <c r="O174" s="7">
        <f>-ROUND(SUMIF('3.0'!$D:$D,T_BS!D174,'3.0'!$H:$H),0)</f>
        <v>0</v>
      </c>
      <c r="P174" s="210">
        <f>-ROUND(SUMIF('4.0'!$D:$D,T_BS!D174,'4.0'!$N:$N),0)</f>
        <v>0</v>
      </c>
      <c r="Q174" s="7">
        <f>-ROUND(SUMIF('5.0'!$D:$D,T_BS!D174,'5.0'!$N:$N),0)</f>
        <v>0</v>
      </c>
      <c r="R174" s="210">
        <f>-ROUND(SUMIF('6.0'!$D:$D,T_BS!D174,'6.0'!$N:$N),0)</f>
        <v>0</v>
      </c>
      <c r="S174" s="210">
        <f>-ROUND(SUMIF('7.0'!$D:$D,T_BS!D174,'7.0'!$I:$I),0)</f>
        <v>0</v>
      </c>
      <c r="T174" s="210">
        <f>-ROUND(SUMIF('8.0'!$D:$D,T_BS!D174,'8.0'!$H:$H),0)</f>
        <v>0</v>
      </c>
      <c r="U174" s="15">
        <f t="shared" si="44"/>
        <v>0</v>
      </c>
      <c r="W174" s="39">
        <f t="shared" ref="W174:W200" si="48">U174+K174</f>
        <v>0</v>
      </c>
      <c r="Y174" s="5"/>
      <c r="AB174" s="39">
        <v>0</v>
      </c>
      <c r="AC174" s="710">
        <f t="shared" si="34"/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 ht="18" customHeight="1">
      <c r="A175" s="5"/>
      <c r="D175" s="14">
        <v>214200</v>
      </c>
      <c r="E175" s="6" t="s">
        <v>162</v>
      </c>
      <c r="F175" s="711">
        <v>3402</v>
      </c>
      <c r="G175" s="6" t="s">
        <v>164</v>
      </c>
      <c r="H175" s="5">
        <v>0</v>
      </c>
      <c r="I175" s="211">
        <v>0</v>
      </c>
      <c r="J175" s="211">
        <v>14743067</v>
      </c>
      <c r="K175" s="15">
        <f t="shared" si="47"/>
        <v>14743067</v>
      </c>
      <c r="M175" s="676">
        <f>-SUMIF('1.0'!$D:$D,T_BS!D175,'1.0'!$N:$N)</f>
        <v>0</v>
      </c>
      <c r="N175" s="211">
        <f>-SUMIF('2.0'!$D:$D,T_BS!D175,'2.0'!$N:$N)</f>
        <v>0</v>
      </c>
      <c r="O175" s="7">
        <f>-ROUND(SUMIF('3.0'!$D:$D,T_BS!D175,'3.0'!$H:$H),0)</f>
        <v>0</v>
      </c>
      <c r="P175" s="210">
        <f>-ROUND(SUMIF('4.0'!$D:$D,T_BS!D175,'4.0'!$N:$N),0)</f>
        <v>0</v>
      </c>
      <c r="Q175" s="7">
        <f>-ROUND(SUMIF('5.0'!$D:$D,T_BS!D175,'5.0'!$N:$N),0)</f>
        <v>0</v>
      </c>
      <c r="R175" s="210">
        <f>-ROUND(SUMIF('6.0'!$D:$D,T_BS!D175,'6.0'!$N:$N),0)</f>
        <v>0</v>
      </c>
      <c r="S175" s="210">
        <f>-ROUND(SUMIF('7.0'!$D:$D,T_BS!D175,'7.0'!$I:$I),0)</f>
        <v>0</v>
      </c>
      <c r="T175" s="210">
        <f>-ROUND(SUMIF('8.0'!$D:$D,T_BS!D175,'8.0'!$H:$H),0)</f>
        <v>0</v>
      </c>
      <c r="U175" s="15">
        <f t="shared" si="44"/>
        <v>0</v>
      </c>
      <c r="W175" s="39">
        <f t="shared" si="48"/>
        <v>14743067</v>
      </c>
      <c r="Y175" s="5"/>
      <c r="AB175" s="39">
        <v>16423487</v>
      </c>
      <c r="AC175" s="710">
        <f t="shared" si="34"/>
        <v>-1680420</v>
      </c>
      <c r="AE175" s="5">
        <v>-1680420</v>
      </c>
      <c r="AF175" s="5">
        <v>0</v>
      </c>
      <c r="AG175" s="5">
        <v>0</v>
      </c>
      <c r="AH175" s="5">
        <v>0</v>
      </c>
      <c r="AI175" s="5">
        <v>-1680420</v>
      </c>
    </row>
    <row r="176" spans="1:35" ht="18" customHeight="1">
      <c r="A176" s="5"/>
      <c r="B176" s="6" t="s">
        <v>1946</v>
      </c>
      <c r="D176" s="14">
        <v>214350</v>
      </c>
      <c r="E176" s="6" t="s">
        <v>162</v>
      </c>
      <c r="F176" s="711">
        <v>3402</v>
      </c>
      <c r="G176" s="6" t="s">
        <v>1947</v>
      </c>
      <c r="H176" s="5">
        <v>270610780</v>
      </c>
      <c r="I176" s="211">
        <v>0</v>
      </c>
      <c r="J176" s="211">
        <v>0</v>
      </c>
      <c r="K176" s="15">
        <f t="shared" si="47"/>
        <v>270610780</v>
      </c>
      <c r="M176" s="676">
        <f>-SUMIF('1.0'!$D:$D,T_BS!D176,'1.0'!$N:$N)</f>
        <v>0</v>
      </c>
      <c r="N176" s="211">
        <f>-SUMIF('2.0'!$D:$D,T_BS!D176,'2.0'!$N:$N)</f>
        <v>0</v>
      </c>
      <c r="O176" s="7">
        <f>-ROUND(SUMIF('3.0'!$D:$D,T_BS!D176,'3.0'!$H:$H),0)</f>
        <v>0</v>
      </c>
      <c r="P176" s="210">
        <f>-ROUND(SUMIF('4.0'!$D:$D,T_BS!D176,'4.0'!$N:$N),0)</f>
        <v>0</v>
      </c>
      <c r="Q176" s="7">
        <f>-ROUND(SUMIF('5.0'!$D:$D,T_BS!D176,'5.0'!$N:$N),0)</f>
        <v>0</v>
      </c>
      <c r="R176" s="210">
        <f>-ROUND(SUMIF('6.0'!$D:$D,T_BS!D176,'6.0'!$N:$N),0)</f>
        <v>0</v>
      </c>
      <c r="S176" s="210">
        <f>-ROUND(SUMIF('7.0'!$D:$D,T_BS!D176,'7.0'!$I:$I),0)</f>
        <v>0</v>
      </c>
      <c r="T176" s="210">
        <f>-ROUND(SUMIF('8.0'!$D:$D,T_BS!D176,'8.0'!$H:$H),0)</f>
        <v>0</v>
      </c>
      <c r="U176" s="15">
        <f t="shared" si="44"/>
        <v>0</v>
      </c>
      <c r="W176" s="39">
        <f t="shared" si="48"/>
        <v>270610780</v>
      </c>
      <c r="Y176" s="5"/>
      <c r="AB176" s="39">
        <v>270610780</v>
      </c>
      <c r="AC176" s="710">
        <f t="shared" si="34"/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 ht="18" customHeight="1">
      <c r="A177" s="5"/>
      <c r="B177" s="6" t="s">
        <v>1946</v>
      </c>
      <c r="D177" s="14">
        <v>214360</v>
      </c>
      <c r="E177" s="6" t="s">
        <v>162</v>
      </c>
      <c r="F177" s="711">
        <v>3402</v>
      </c>
      <c r="G177" s="6" t="s">
        <v>1948</v>
      </c>
      <c r="H177" s="5">
        <v>421777</v>
      </c>
      <c r="I177" s="211">
        <v>0</v>
      </c>
      <c r="J177" s="211">
        <v>0</v>
      </c>
      <c r="K177" s="15">
        <f t="shared" si="47"/>
        <v>421777</v>
      </c>
      <c r="M177" s="676">
        <f>-SUMIF('1.0'!$D:$D,T_BS!D177,'1.0'!$N:$N)</f>
        <v>0</v>
      </c>
      <c r="N177" s="211">
        <f>-SUMIF('2.0'!$D:$D,T_BS!D177,'2.0'!$N:$N)</f>
        <v>0</v>
      </c>
      <c r="O177" s="7">
        <f>-ROUND(SUMIF('3.0'!$D:$D,T_BS!D177,'3.0'!$H:$H),0)</f>
        <v>0</v>
      </c>
      <c r="P177" s="210">
        <f>-ROUND(SUMIF('4.0'!$D:$D,T_BS!D177,'4.0'!$N:$N),0)</f>
        <v>0</v>
      </c>
      <c r="Q177" s="7">
        <f>-ROUND(SUMIF('5.0'!$D:$D,T_BS!D177,'5.0'!$N:$N),0)</f>
        <v>0</v>
      </c>
      <c r="R177" s="210">
        <f>-ROUND(SUMIF('6.0'!$D:$D,T_BS!D177,'6.0'!$N:$N),0)</f>
        <v>0</v>
      </c>
      <c r="S177" s="210">
        <f>-ROUND(SUMIF('7.0'!$D:$D,T_BS!D177,'7.0'!$I:$I),0)</f>
        <v>0</v>
      </c>
      <c r="T177" s="210">
        <f>-ROUND(SUMIF('8.0'!$D:$D,T_BS!D177,'8.0'!$H:$H),0)</f>
        <v>0</v>
      </c>
      <c r="U177" s="15">
        <f t="shared" si="44"/>
        <v>0</v>
      </c>
      <c r="W177" s="39">
        <f t="shared" si="48"/>
        <v>421777</v>
      </c>
      <c r="Y177" s="5"/>
      <c r="AB177" s="39">
        <v>421777</v>
      </c>
      <c r="AC177" s="710">
        <f t="shared" si="34"/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 ht="18" customHeight="1">
      <c r="A178" s="5"/>
      <c r="B178" s="6" t="s">
        <v>1946</v>
      </c>
      <c r="D178" s="14">
        <v>214150</v>
      </c>
      <c r="E178" s="6" t="s">
        <v>162</v>
      </c>
      <c r="F178" s="711">
        <v>3402</v>
      </c>
      <c r="G178" s="6" t="s">
        <v>1949</v>
      </c>
      <c r="H178" s="5">
        <v>785168</v>
      </c>
      <c r="I178" s="211">
        <v>0</v>
      </c>
      <c r="J178" s="211">
        <v>0</v>
      </c>
      <c r="K178" s="15">
        <f t="shared" si="47"/>
        <v>785168</v>
      </c>
      <c r="M178" s="676">
        <f>-SUMIF('1.0'!$D:$D,T_BS!D178,'1.0'!$N:$N)</f>
        <v>0</v>
      </c>
      <c r="N178" s="211">
        <f>-SUMIF('2.0'!$D:$D,T_BS!D178,'2.0'!$N:$N)</f>
        <v>0</v>
      </c>
      <c r="O178" s="7">
        <f>-ROUND(SUMIF('3.0'!$D:$D,T_BS!D178,'3.0'!$H:$H),0)</f>
        <v>0</v>
      </c>
      <c r="P178" s="210">
        <f>-ROUND(SUMIF('4.0'!$D:$D,T_BS!D178,'4.0'!$N:$N),0)</f>
        <v>0</v>
      </c>
      <c r="Q178" s="7">
        <f>-ROUND(SUMIF('5.0'!$D:$D,T_BS!D178,'5.0'!$N:$N),0)</f>
        <v>0</v>
      </c>
      <c r="R178" s="210">
        <f>-ROUND(SUMIF('6.0'!$D:$D,T_BS!D178,'6.0'!$N:$N),0)</f>
        <v>0</v>
      </c>
      <c r="S178" s="210">
        <f>-ROUND(SUMIF('7.0'!$D:$D,T_BS!D178,'7.0'!$I:$I),0)</f>
        <v>0</v>
      </c>
      <c r="T178" s="210">
        <f>-ROUND(SUMIF('8.0'!$D:$D,T_BS!D178,'8.0'!$H:$H),0)</f>
        <v>0</v>
      </c>
      <c r="U178" s="15">
        <f t="shared" si="44"/>
        <v>0</v>
      </c>
      <c r="W178" s="39">
        <f t="shared" si="48"/>
        <v>785168</v>
      </c>
      <c r="Y178" s="5"/>
      <c r="AB178" s="39">
        <v>785168</v>
      </c>
      <c r="AC178" s="710">
        <f t="shared" si="34"/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 ht="18" customHeight="1">
      <c r="A179" s="5"/>
      <c r="B179" s="6" t="s">
        <v>1946</v>
      </c>
      <c r="D179" s="14">
        <v>214250</v>
      </c>
      <c r="E179" s="6" t="s">
        <v>162</v>
      </c>
      <c r="F179" s="711">
        <v>3402</v>
      </c>
      <c r="G179" s="6" t="s">
        <v>1950</v>
      </c>
      <c r="H179" s="5">
        <v>201041970</v>
      </c>
      <c r="I179" s="211">
        <v>0</v>
      </c>
      <c r="J179" s="211">
        <v>0</v>
      </c>
      <c r="K179" s="15">
        <f t="shared" si="47"/>
        <v>201041970</v>
      </c>
      <c r="M179" s="676">
        <f>-SUMIF('1.0'!$D:$D,T_BS!D179,'1.0'!$N:$N)</f>
        <v>0</v>
      </c>
      <c r="N179" s="211">
        <f>-SUMIF('2.0'!$D:$D,T_BS!D179,'2.0'!$N:$N)</f>
        <v>0</v>
      </c>
      <c r="O179" s="7">
        <f>-ROUND(SUMIF('3.0'!$D:$D,T_BS!D179,'3.0'!$H:$H),0)</f>
        <v>0</v>
      </c>
      <c r="P179" s="210">
        <f>-ROUND(SUMIF('4.0'!$D:$D,T_BS!D179,'4.0'!$N:$N),0)</f>
        <v>0</v>
      </c>
      <c r="Q179" s="7">
        <f>-ROUND(SUMIF('5.0'!$D:$D,T_BS!D179,'5.0'!$N:$N),0)</f>
        <v>0</v>
      </c>
      <c r="R179" s="210">
        <f>-ROUND(SUMIF('6.0'!$D:$D,T_BS!D179,'6.0'!$N:$N),0)</f>
        <v>0</v>
      </c>
      <c r="S179" s="210">
        <f>-ROUND(SUMIF('7.0'!$D:$D,T_BS!D179,'7.0'!$I:$I),0)</f>
        <v>0</v>
      </c>
      <c r="T179" s="210">
        <f>-ROUND(SUMIF('8.0'!$D:$D,T_BS!D179,'8.0'!$H:$H),0)</f>
        <v>0</v>
      </c>
      <c r="U179" s="15">
        <f t="shared" si="44"/>
        <v>0</v>
      </c>
      <c r="W179" s="39">
        <f t="shared" si="48"/>
        <v>201041970</v>
      </c>
      <c r="Y179" s="5"/>
      <c r="AB179" s="39">
        <v>206804744</v>
      </c>
      <c r="AC179" s="710">
        <f t="shared" si="34"/>
        <v>-5762774</v>
      </c>
      <c r="AE179" s="5">
        <v>-17349114</v>
      </c>
      <c r="AF179" s="5">
        <v>0</v>
      </c>
      <c r="AG179" s="5">
        <v>0</v>
      </c>
      <c r="AH179" s="5">
        <v>11586340</v>
      </c>
      <c r="AI179" s="5">
        <v>-5762774</v>
      </c>
    </row>
    <row r="180" spans="1:35" ht="18" customHeight="1">
      <c r="A180" s="5"/>
      <c r="B180" s="6" t="s">
        <v>2044</v>
      </c>
      <c r="D180" s="14">
        <v>214361</v>
      </c>
      <c r="E180" s="6" t="s">
        <v>162</v>
      </c>
      <c r="F180" s="711">
        <v>3401</v>
      </c>
      <c r="G180" s="6" t="s">
        <v>2045</v>
      </c>
      <c r="H180" s="5">
        <v>0</v>
      </c>
      <c r="I180" s="211">
        <v>0</v>
      </c>
      <c r="J180" s="211">
        <v>0</v>
      </c>
      <c r="K180" s="15">
        <f>SUM(H180:J180)</f>
        <v>0</v>
      </c>
      <c r="M180" s="676">
        <f>-SUMIF('1.0'!$D:$D,T_BS!D180,'1.0'!$N:$N)</f>
        <v>0</v>
      </c>
      <c r="N180" s="211">
        <f>-SUMIF('2.0'!$D:$D,T_BS!D180,'2.0'!$N:$N)</f>
        <v>0</v>
      </c>
      <c r="O180" s="7">
        <f>-ROUND(SUMIF('3.0'!$D:$D,T_BS!D180,'3.0'!$H:$H),0)</f>
        <v>0</v>
      </c>
      <c r="P180" s="210">
        <f>-ROUND(SUMIF('4.0'!$D:$D,T_BS!D180,'4.0'!$N:$N),0)</f>
        <v>0</v>
      </c>
      <c r="Q180" s="7">
        <f>-ROUND(SUMIF('5.0'!$D:$D,T_BS!D180,'5.0'!$N:$N),0)</f>
        <v>0</v>
      </c>
      <c r="R180" s="210">
        <f>-ROUND(SUMIF('6.0'!$D:$D,T_BS!D180,'6.0'!$N:$N),0)</f>
        <v>0</v>
      </c>
      <c r="S180" s="210">
        <f>-ROUND(SUMIF('7.0'!$D:$D,T_BS!D180,'7.0'!$I:$I),0)</f>
        <v>0</v>
      </c>
      <c r="T180" s="210">
        <f>-ROUND(SUMIF('8.0'!$D:$D,T_BS!D180,'8.0'!$H:$H),0)</f>
        <v>0</v>
      </c>
      <c r="U180" s="15">
        <f t="shared" si="44"/>
        <v>0</v>
      </c>
      <c r="W180" s="39">
        <f t="shared" si="48"/>
        <v>0</v>
      </c>
      <c r="Y180" s="5"/>
      <c r="AB180" s="39">
        <v>0</v>
      </c>
      <c r="AC180" s="710">
        <f t="shared" si="34"/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</row>
    <row r="181" spans="1:35" ht="18" customHeight="1">
      <c r="A181" s="5"/>
      <c r="B181" s="6" t="s">
        <v>1946</v>
      </c>
      <c r="D181" s="14">
        <v>214362</v>
      </c>
      <c r="E181" s="6" t="s">
        <v>162</v>
      </c>
      <c r="F181" s="711">
        <v>3402</v>
      </c>
      <c r="G181" s="6" t="s">
        <v>1951</v>
      </c>
      <c r="H181" s="5">
        <v>9043650</v>
      </c>
      <c r="I181" s="211">
        <v>0</v>
      </c>
      <c r="J181" s="211">
        <v>0</v>
      </c>
      <c r="K181" s="15">
        <f>SUM(H181:J181)</f>
        <v>9043650</v>
      </c>
      <c r="M181" s="676">
        <f>-SUMIF('1.0'!$D:$D,T_BS!D181,'1.0'!$N:$N)</f>
        <v>0</v>
      </c>
      <c r="N181" s="211">
        <f>-SUMIF('2.0'!$D:$D,T_BS!D181,'2.0'!$N:$N)</f>
        <v>0</v>
      </c>
      <c r="O181" s="7">
        <f>-ROUND(SUMIF('3.0'!$D:$D,T_BS!D181,'3.0'!$H:$H),0)</f>
        <v>0</v>
      </c>
      <c r="P181" s="210">
        <f>-ROUND(SUMIF('4.0'!$D:$D,T_BS!D181,'4.0'!$N:$N),0)</f>
        <v>0</v>
      </c>
      <c r="Q181" s="7">
        <f>-ROUND(SUMIF('5.0'!$D:$D,T_BS!D181,'5.0'!$N:$N),0)</f>
        <v>0</v>
      </c>
      <c r="R181" s="210">
        <f>-ROUND(SUMIF('6.0'!$D:$D,T_BS!D181,'6.0'!$N:$N),0)</f>
        <v>0</v>
      </c>
      <c r="S181" s="210">
        <f>-ROUND(SUMIF('7.0'!$D:$D,T_BS!D181,'7.0'!$I:$I),0)</f>
        <v>0</v>
      </c>
      <c r="T181" s="210">
        <f>-ROUND(SUMIF('8.0'!$D:$D,T_BS!D181,'8.0'!$H:$H),0)</f>
        <v>0</v>
      </c>
      <c r="U181" s="15">
        <f>SUM(M181:T181)</f>
        <v>0</v>
      </c>
      <c r="W181" s="39">
        <f>U181+K181</f>
        <v>9043650</v>
      </c>
      <c r="Y181" s="5"/>
      <c r="AB181" s="39">
        <v>25408378</v>
      </c>
      <c r="AC181" s="710">
        <f t="shared" si="34"/>
        <v>-16364728</v>
      </c>
      <c r="AE181" s="5">
        <v>-16364728</v>
      </c>
      <c r="AF181" s="5">
        <v>0</v>
      </c>
      <c r="AG181" s="5">
        <v>0</v>
      </c>
      <c r="AH181" s="5">
        <v>0</v>
      </c>
      <c r="AI181" s="5">
        <v>-16364728</v>
      </c>
    </row>
    <row r="182" spans="1:35" ht="18" customHeight="1">
      <c r="A182" s="5"/>
      <c r="D182" s="14" t="s">
        <v>1974</v>
      </c>
      <c r="E182" s="6" t="s">
        <v>162</v>
      </c>
      <c r="F182" s="711">
        <v>3402</v>
      </c>
      <c r="G182" s="6" t="s">
        <v>1975</v>
      </c>
      <c r="H182" s="5">
        <v>0</v>
      </c>
      <c r="I182" s="211">
        <v>0</v>
      </c>
      <c r="J182" s="211">
        <v>0</v>
      </c>
      <c r="K182" s="15">
        <f>SUM(H182:J182)</f>
        <v>0</v>
      </c>
      <c r="M182" s="676">
        <f>-SUMIF('1.0'!$D:$D,T_BS!D182,'1.0'!$N:$N)</f>
        <v>0</v>
      </c>
      <c r="N182" s="211">
        <f>-SUMIF('2.0'!$D:$D,T_BS!D182,'2.0'!$N:$N)</f>
        <v>0</v>
      </c>
      <c r="O182" s="7">
        <f>-ROUND(SUMIF('3.0'!$D:$D,T_BS!D182,'3.0'!$H:$H),0)</f>
        <v>0</v>
      </c>
      <c r="P182" s="210">
        <f>-ROUND(SUMIF('4.0'!$D:$D,T_BS!D182,'4.0'!$N:$N),0)</f>
        <v>0</v>
      </c>
      <c r="Q182" s="7">
        <f>-ROUND(SUMIF('5.0'!$D:$D,T_BS!D182,'5.0'!$N:$N),0)</f>
        <v>0</v>
      </c>
      <c r="R182" s="210">
        <f>-ROUND(SUMIF('6.0'!$D:$D,T_BS!D182,'6.0'!$N:$N),0)</f>
        <v>0</v>
      </c>
      <c r="S182" s="210">
        <f>-ROUND(SUMIF('7.0'!$D:$D,T_BS!D182,'7.0'!$I:$I),0)</f>
        <v>0</v>
      </c>
      <c r="T182" s="210">
        <f>-ROUND(SUMIF('8.0'!$D:$D,T_BS!D182,'8.0'!$H:$H),0)</f>
        <v>0</v>
      </c>
      <c r="U182" s="15">
        <f>SUM(M182:T182)</f>
        <v>0</v>
      </c>
      <c r="W182" s="39">
        <f>U182+K182</f>
        <v>0</v>
      </c>
      <c r="Y182" s="5"/>
      <c r="AB182" s="39">
        <v>6122422</v>
      </c>
      <c r="AC182" s="710">
        <f t="shared" si="34"/>
        <v>-6122422</v>
      </c>
      <c r="AE182" s="5">
        <v>-6122422</v>
      </c>
      <c r="AF182" s="5">
        <v>0</v>
      </c>
      <c r="AG182" s="5">
        <v>0</v>
      </c>
      <c r="AH182" s="5">
        <v>0</v>
      </c>
      <c r="AI182" s="5">
        <v>-6122422</v>
      </c>
    </row>
    <row r="183" spans="1:35" ht="18" customHeight="1">
      <c r="A183" s="5"/>
      <c r="D183" s="14" t="s">
        <v>1976</v>
      </c>
      <c r="E183" s="6" t="s">
        <v>162</v>
      </c>
      <c r="F183" s="711">
        <v>3402</v>
      </c>
      <c r="G183" s="6" t="s">
        <v>2254</v>
      </c>
      <c r="H183" s="5">
        <v>0</v>
      </c>
      <c r="I183" s="211">
        <v>0</v>
      </c>
      <c r="J183" s="211">
        <v>0</v>
      </c>
      <c r="K183" s="15">
        <f>SUM(H183:J183)</f>
        <v>0</v>
      </c>
      <c r="M183" s="676">
        <f>-SUMIF('1.0'!$D:$D,T_BS!D183,'1.0'!$N:$N)</f>
        <v>0</v>
      </c>
      <c r="N183" s="211">
        <f>-SUMIF('2.0'!$D:$D,T_BS!D183,'2.0'!$N:$N)</f>
        <v>0</v>
      </c>
      <c r="O183" s="7">
        <f>-ROUND(SUMIF('3.0'!$D:$D,T_BS!D183,'3.0'!$H:$H),0)</f>
        <v>0</v>
      </c>
      <c r="P183" s="210">
        <f>-ROUND(SUMIF('4.0'!$D:$D,T_BS!D183,'4.0'!$N:$N),0)</f>
        <v>0</v>
      </c>
      <c r="Q183" s="7">
        <f>-ROUND(SUMIF('5.0'!$D:$D,T_BS!D183,'5.0'!$N:$N),0)</f>
        <v>0</v>
      </c>
      <c r="R183" s="210">
        <f>-ROUND(SUMIF('6.0'!$D:$D,T_BS!D183,'6.0'!$N:$N),0)</f>
        <v>0</v>
      </c>
      <c r="S183" s="210">
        <f>-ROUND(SUMIF('7.0'!$D:$D,T_BS!D183,'7.0'!$I:$I),0)</f>
        <v>0</v>
      </c>
      <c r="T183" s="210">
        <f>-ROUND(SUMIF('8.0'!$D:$D,T_BS!D183,'8.0'!$H:$H),0)</f>
        <v>0</v>
      </c>
      <c r="U183" s="15">
        <f>SUM(M183:T183)</f>
        <v>0</v>
      </c>
      <c r="W183" s="39">
        <f>U183+K183</f>
        <v>0</v>
      </c>
      <c r="Y183" s="5"/>
      <c r="AB183" s="39">
        <v>0</v>
      </c>
      <c r="AC183" s="710">
        <f t="shared" si="34"/>
        <v>0</v>
      </c>
      <c r="AE183" s="5">
        <v>-2283414</v>
      </c>
      <c r="AF183" s="5">
        <v>0</v>
      </c>
      <c r="AG183" s="5">
        <v>0</v>
      </c>
      <c r="AH183" s="5">
        <v>2283414</v>
      </c>
      <c r="AI183" s="5">
        <v>0</v>
      </c>
    </row>
    <row r="184" spans="1:35" ht="18" customHeight="1">
      <c r="A184" s="5"/>
      <c r="D184" s="14">
        <v>214400</v>
      </c>
      <c r="E184" s="6" t="s">
        <v>162</v>
      </c>
      <c r="F184" s="40">
        <v>3406</v>
      </c>
      <c r="G184" s="6" t="s">
        <v>168</v>
      </c>
      <c r="H184" s="5">
        <v>15000000</v>
      </c>
      <c r="I184" s="211">
        <v>0</v>
      </c>
      <c r="J184" s="211">
        <v>0</v>
      </c>
      <c r="K184" s="15">
        <f t="shared" si="47"/>
        <v>15000000</v>
      </c>
      <c r="M184" s="676">
        <f>-SUMIF('1.0'!$D:$D,T_BS!D184,'1.0'!$N:$N)</f>
        <v>0</v>
      </c>
      <c r="N184" s="211">
        <f>-SUMIF('2.0'!$D:$D,T_BS!D184,'2.0'!$N:$N)</f>
        <v>0</v>
      </c>
      <c r="O184" s="7">
        <f>-ROUND(SUMIF('3.0'!$D:$D,T_BS!D184,'3.0'!$H:$H),0)</f>
        <v>0</v>
      </c>
      <c r="P184" s="210">
        <f>-ROUND(SUMIF('4.0'!$D:$D,T_BS!D184,'4.0'!$N:$N),0)</f>
        <v>0</v>
      </c>
      <c r="Q184" s="7">
        <f>-ROUND(SUMIF('5.0'!$D:$D,T_BS!D184,'5.0'!$N:$N),0)</f>
        <v>0</v>
      </c>
      <c r="R184" s="210">
        <f>-ROUND(SUMIF('6.0'!$D:$D,T_BS!D184,'6.0'!$N:$N),0)</f>
        <v>0</v>
      </c>
      <c r="S184" s="210">
        <f>-ROUND(SUMIF('7.0'!$D:$D,T_BS!D184,'7.0'!$I:$I),0)</f>
        <v>0</v>
      </c>
      <c r="T184" s="210">
        <f>-ROUND(SUMIF('8.0'!$D:$D,T_BS!D184,'8.0'!$H:$H),0)</f>
        <v>0</v>
      </c>
      <c r="U184" s="15">
        <f t="shared" si="44"/>
        <v>0</v>
      </c>
      <c r="W184" s="39">
        <f t="shared" si="48"/>
        <v>15000000</v>
      </c>
      <c r="Y184" s="5"/>
      <c r="AB184" s="39">
        <v>15000000</v>
      </c>
      <c r="AC184" s="710">
        <f t="shared" si="34"/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 ht="18" customHeight="1">
      <c r="A185" s="5"/>
      <c r="D185" s="14">
        <v>214600</v>
      </c>
      <c r="E185" s="6" t="s">
        <v>162</v>
      </c>
      <c r="F185" s="40">
        <v>3406</v>
      </c>
      <c r="G185" s="6" t="s">
        <v>169</v>
      </c>
      <c r="H185" s="5">
        <v>99954688</v>
      </c>
      <c r="I185" s="211">
        <v>0</v>
      </c>
      <c r="J185" s="211">
        <v>0</v>
      </c>
      <c r="K185" s="15">
        <f t="shared" si="47"/>
        <v>99954688</v>
      </c>
      <c r="M185" s="676">
        <f>-SUMIF('1.0'!$D:$D,T_BS!D185,'1.0'!$N:$N)</f>
        <v>0</v>
      </c>
      <c r="N185" s="211">
        <f>-SUMIF('2.0'!$D:$D,T_BS!D185,'2.0'!$N:$N)</f>
        <v>0</v>
      </c>
      <c r="O185" s="7">
        <f>-ROUND(SUMIF('3.0'!$D:$D,T_BS!D185,'3.0'!$H:$H),0)</f>
        <v>0</v>
      </c>
      <c r="P185" s="210">
        <f>-ROUND(SUMIF('4.0'!$D:$D,T_BS!D185,'4.0'!$N:$N),0)</f>
        <v>0</v>
      </c>
      <c r="Q185" s="7">
        <f>-ROUND(SUMIF('5.0'!$D:$D,T_BS!D185,'5.0'!$N:$N),0)</f>
        <v>0</v>
      </c>
      <c r="R185" s="210">
        <f>-ROUND(SUMIF('6.0'!$D:$D,T_BS!D185,'6.0'!$N:$N),0)</f>
        <v>0</v>
      </c>
      <c r="S185" s="210">
        <f>-ROUND(SUMIF('7.0'!$D:$D,T_BS!D185,'7.0'!$I:$I),0)</f>
        <v>0</v>
      </c>
      <c r="T185" s="210">
        <f>-ROUND(SUMIF('8.0'!$D:$D,T_BS!D185,'8.0'!$H:$H),0)</f>
        <v>0</v>
      </c>
      <c r="U185" s="15">
        <f t="shared" si="44"/>
        <v>0</v>
      </c>
      <c r="W185" s="39">
        <f t="shared" si="48"/>
        <v>99954688</v>
      </c>
      <c r="Y185" s="5"/>
      <c r="AB185" s="39">
        <v>99954688</v>
      </c>
      <c r="AC185" s="710">
        <f t="shared" si="34"/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 ht="18" customHeight="1">
      <c r="A186" s="5"/>
      <c r="D186" s="14" t="s">
        <v>1861</v>
      </c>
      <c r="E186" s="6" t="s">
        <v>162</v>
      </c>
      <c r="F186" s="40">
        <v>3406</v>
      </c>
      <c r="G186" s="6" t="s">
        <v>1863</v>
      </c>
      <c r="H186" s="5">
        <v>52303062</v>
      </c>
      <c r="I186" s="211">
        <v>0</v>
      </c>
      <c r="J186" s="211">
        <v>0</v>
      </c>
      <c r="K186" s="15">
        <f t="shared" si="47"/>
        <v>52303062</v>
      </c>
      <c r="M186" s="676">
        <f>-SUMIF('1.0'!$D:$D,T_BS!D186,'1.0'!$N:$N)</f>
        <v>0</v>
      </c>
      <c r="N186" s="211">
        <f>-SUMIF('2.0'!$D:$D,T_BS!D186,'2.0'!$N:$N)</f>
        <v>0</v>
      </c>
      <c r="O186" s="7">
        <f>-ROUND(SUMIF('3.0'!$D:$D,T_BS!D186,'3.0'!$H:$H),0)</f>
        <v>0</v>
      </c>
      <c r="P186" s="210">
        <f>-ROUND(SUMIF('4.0'!$D:$D,T_BS!D186,'4.0'!$N:$N),0)</f>
        <v>0</v>
      </c>
      <c r="Q186" s="7">
        <f>-ROUND(SUMIF('5.0'!$D:$D,T_BS!D186,'5.0'!$N:$N),0)</f>
        <v>0</v>
      </c>
      <c r="R186" s="210">
        <f>-ROUND(SUMIF('6.0'!$D:$D,T_BS!D186,'6.0'!$N:$N),0)</f>
        <v>0</v>
      </c>
      <c r="S186" s="210">
        <f>-ROUND(SUMIF('7.0'!$D:$D,T_BS!D186,'7.0'!$I:$I),0)</f>
        <v>0</v>
      </c>
      <c r="T186" s="210">
        <f>-ROUND(SUMIF('8.0'!$D:$D,T_BS!D186,'8.0'!$H:$H),0)</f>
        <v>0</v>
      </c>
      <c r="U186" s="15">
        <f t="shared" si="44"/>
        <v>0</v>
      </c>
      <c r="W186" s="39">
        <f t="shared" si="48"/>
        <v>52303062</v>
      </c>
      <c r="Y186" s="5"/>
      <c r="AB186" s="39">
        <v>65208437</v>
      </c>
      <c r="AC186" s="710">
        <f t="shared" si="34"/>
        <v>-12905375</v>
      </c>
      <c r="AE186" s="5">
        <v>-12905375</v>
      </c>
      <c r="AF186" s="5">
        <v>0</v>
      </c>
      <c r="AG186" s="5">
        <v>0</v>
      </c>
      <c r="AH186" s="5">
        <v>0</v>
      </c>
      <c r="AI186" s="5">
        <v>-12905375</v>
      </c>
    </row>
    <row r="187" spans="1:35" ht="18" customHeight="1">
      <c r="A187" s="5"/>
      <c r="D187" s="14" t="s">
        <v>1862</v>
      </c>
      <c r="E187" s="6" t="s">
        <v>162</v>
      </c>
      <c r="F187" s="40">
        <v>3406</v>
      </c>
      <c r="G187" s="6" t="s">
        <v>1864</v>
      </c>
      <c r="H187" s="5">
        <v>450000000</v>
      </c>
      <c r="I187" s="211">
        <v>0</v>
      </c>
      <c r="J187" s="211">
        <v>0</v>
      </c>
      <c r="K187" s="15">
        <f t="shared" si="47"/>
        <v>450000000</v>
      </c>
      <c r="M187" s="676">
        <f>-SUMIF('1.0'!$D:$D,T_BS!D187,'1.0'!$N:$N)</f>
        <v>0</v>
      </c>
      <c r="N187" s="211">
        <f>-SUMIF('2.0'!$D:$D,T_BS!D187,'2.0'!$N:$N)</f>
        <v>0</v>
      </c>
      <c r="O187" s="7">
        <f>-ROUND(SUMIF('3.0'!$D:$D,T_BS!D187,'3.0'!$H:$H),0)</f>
        <v>0</v>
      </c>
      <c r="P187" s="210">
        <f>-ROUND(SUMIF('4.0'!$D:$D,T_BS!D187,'4.0'!$N:$N),0)</f>
        <v>0</v>
      </c>
      <c r="Q187" s="7">
        <f>-ROUND(SUMIF('5.0'!$D:$D,T_BS!D187,'5.0'!$N:$N),0)</f>
        <v>0</v>
      </c>
      <c r="R187" s="210">
        <f>-ROUND(SUMIF('6.0'!$D:$D,T_BS!D187,'6.0'!$N:$N),0)</f>
        <v>0</v>
      </c>
      <c r="S187" s="210">
        <f>-ROUND(SUMIF('7.0'!$D:$D,T_BS!D187,'7.0'!$I:$I),0)</f>
        <v>0</v>
      </c>
      <c r="T187" s="210">
        <f>-ROUND(SUMIF('8.0'!$D:$D,T_BS!D187,'8.0'!$H:$H),0)</f>
        <v>0</v>
      </c>
      <c r="U187" s="15">
        <f t="shared" si="44"/>
        <v>0</v>
      </c>
      <c r="W187" s="39">
        <f t="shared" si="48"/>
        <v>450000000</v>
      </c>
      <c r="Y187" s="5"/>
      <c r="AB187" s="39">
        <v>450000000</v>
      </c>
      <c r="AC187" s="710">
        <f t="shared" si="34"/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</row>
    <row r="188" spans="1:35" ht="18" customHeight="1">
      <c r="A188" s="5"/>
      <c r="D188" s="14">
        <v>214700</v>
      </c>
      <c r="E188" s="6" t="s">
        <v>162</v>
      </c>
      <c r="F188" s="40">
        <v>3406</v>
      </c>
      <c r="G188" s="6" t="s">
        <v>170</v>
      </c>
      <c r="H188" s="5">
        <v>4628653703</v>
      </c>
      <c r="I188" s="211">
        <v>0</v>
      </c>
      <c r="J188" s="211">
        <v>0</v>
      </c>
      <c r="K188" s="15">
        <f t="shared" si="47"/>
        <v>4628653703</v>
      </c>
      <c r="M188" s="676">
        <f>-SUMIF('1.0'!$D:$D,T_BS!D188,'1.0'!$N:$N)</f>
        <v>0</v>
      </c>
      <c r="N188" s="211">
        <f>-SUMIF('2.0'!$D:$D,T_BS!D188,'2.0'!$N:$N)</f>
        <v>0</v>
      </c>
      <c r="O188" s="7">
        <f>-ROUND(SUMIF('3.0'!$D:$D,T_BS!D188,'3.0'!$H:$H),0)</f>
        <v>0</v>
      </c>
      <c r="P188" s="210">
        <f>-ROUND(SUMIF('4.0'!$D:$D,T_BS!D188,'4.0'!$N:$N),0)</f>
        <v>0</v>
      </c>
      <c r="Q188" s="7">
        <f>-ROUND(SUMIF('5.0'!$D:$D,T_BS!D188,'5.0'!$N:$N),0)</f>
        <v>0</v>
      </c>
      <c r="R188" s="210">
        <f>-ROUND(SUMIF('6.0'!$D:$D,T_BS!D188,'6.0'!$N:$N),0)</f>
        <v>0</v>
      </c>
      <c r="S188" s="210">
        <f>-ROUND(SUMIF('7.0'!$D:$D,T_BS!D188,'7.0'!$I:$I),0)</f>
        <v>0</v>
      </c>
      <c r="T188" s="210">
        <f>-ROUND(SUMIF('8.0'!$D:$D,T_BS!D188,'8.0'!$H:$H),0)</f>
        <v>0</v>
      </c>
      <c r="U188" s="15">
        <f t="shared" si="44"/>
        <v>0</v>
      </c>
      <c r="W188" s="39">
        <f t="shared" si="48"/>
        <v>4628653703</v>
      </c>
      <c r="Y188" s="5">
        <f>SUM(W184:W188)</f>
        <v>5245911453</v>
      </c>
      <c r="AB188" s="39">
        <v>4695571527</v>
      </c>
      <c r="AC188" s="710">
        <f t="shared" si="34"/>
        <v>-66917824</v>
      </c>
      <c r="AE188" s="5">
        <v>-66917824</v>
      </c>
      <c r="AF188" s="5">
        <v>0</v>
      </c>
      <c r="AG188" s="5">
        <v>0</v>
      </c>
      <c r="AH188" s="5">
        <v>0</v>
      </c>
      <c r="AI188" s="5">
        <v>-66917824</v>
      </c>
    </row>
    <row r="189" spans="1:35" ht="18" customHeight="1">
      <c r="A189" s="5"/>
      <c r="D189" s="14">
        <v>215100</v>
      </c>
      <c r="E189" s="6" t="s">
        <v>162</v>
      </c>
      <c r="F189" s="40">
        <v>3402</v>
      </c>
      <c r="G189" s="6" t="s">
        <v>171</v>
      </c>
      <c r="H189" s="5">
        <v>128386646</v>
      </c>
      <c r="I189" s="211">
        <v>0</v>
      </c>
      <c r="J189" s="211">
        <v>0</v>
      </c>
      <c r="K189" s="15">
        <f t="shared" si="47"/>
        <v>128386646</v>
      </c>
      <c r="M189" s="676">
        <f>-SUMIF('1.0'!$D:$D,T_BS!D189,'1.0'!$N:$N)</f>
        <v>0</v>
      </c>
      <c r="N189" s="211">
        <f>-SUMIF('2.0'!$D:$D,T_BS!D189,'2.0'!$N:$N)</f>
        <v>0</v>
      </c>
      <c r="O189" s="7">
        <f>-ROUND(SUMIF('3.0'!$D:$D,T_BS!D189,'3.0'!$H:$H),0)</f>
        <v>0</v>
      </c>
      <c r="P189" s="210">
        <f>-ROUND(SUMIF('4.0'!$D:$D,T_BS!D189,'4.0'!$N:$N),0)</f>
        <v>0</v>
      </c>
      <c r="Q189" s="7">
        <f>-ROUND(SUMIF('5.0'!$D:$D,T_BS!D189,'5.0'!$N:$N),0)</f>
        <v>0</v>
      </c>
      <c r="R189" s="210">
        <f>-ROUND(SUMIF('6.0'!$D:$D,T_BS!D189,'6.0'!$N:$N),0)</f>
        <v>0</v>
      </c>
      <c r="S189" s="210">
        <f>-ROUND(SUMIF('7.0'!$D:$D,T_BS!D189,'7.0'!$I:$I),0)</f>
        <v>0</v>
      </c>
      <c r="T189" s="210">
        <f>-ROUND(SUMIF('8.0'!$D:$D,T_BS!D189,'8.0'!$H:$H),0)</f>
        <v>0</v>
      </c>
      <c r="U189" s="15">
        <f t="shared" si="44"/>
        <v>0</v>
      </c>
      <c r="W189" s="39">
        <f t="shared" si="48"/>
        <v>128386646</v>
      </c>
      <c r="Y189" s="5">
        <f>W199+W200</f>
        <v>467472427</v>
      </c>
      <c r="AB189" s="39">
        <v>128386646</v>
      </c>
      <c r="AC189" s="710">
        <f t="shared" si="34"/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 ht="18" customHeight="1">
      <c r="A190" s="5"/>
      <c r="D190" s="14">
        <v>215200</v>
      </c>
      <c r="E190" s="6" t="s">
        <v>162</v>
      </c>
      <c r="F190" s="40">
        <v>3402</v>
      </c>
      <c r="G190" s="6" t="s">
        <v>172</v>
      </c>
      <c r="H190" s="5">
        <v>12814714</v>
      </c>
      <c r="I190" s="211">
        <v>0</v>
      </c>
      <c r="J190" s="211">
        <v>0</v>
      </c>
      <c r="K190" s="15">
        <f t="shared" si="47"/>
        <v>12814714</v>
      </c>
      <c r="M190" s="676">
        <f>-SUMIF('1.0'!$D:$D,T_BS!D190,'1.0'!$N:$N)</f>
        <v>0</v>
      </c>
      <c r="N190" s="211">
        <f>-SUMIF('2.0'!$D:$D,T_BS!D190,'2.0'!$N:$N)</f>
        <v>0</v>
      </c>
      <c r="O190" s="7">
        <f>-ROUND(SUMIF('3.0'!$D:$D,T_BS!D190,'3.0'!$H:$H),0)</f>
        <v>0</v>
      </c>
      <c r="P190" s="210">
        <f>-ROUND(SUMIF('4.0'!$D:$D,T_BS!D190,'4.0'!$N:$N),0)</f>
        <v>0</v>
      </c>
      <c r="Q190" s="7">
        <f>-ROUND(SUMIF('5.0'!$D:$D,T_BS!D190,'5.0'!$N:$N),0)</f>
        <v>0</v>
      </c>
      <c r="R190" s="210">
        <f>-ROUND(SUMIF('6.0'!$D:$D,T_BS!D190,'6.0'!$N:$N),0)</f>
        <v>0</v>
      </c>
      <c r="S190" s="210">
        <f>-ROUND(SUMIF('7.0'!$D:$D,T_BS!D190,'7.0'!$I:$I),0)</f>
        <v>0</v>
      </c>
      <c r="T190" s="210">
        <f>-ROUND(SUMIF('8.0'!$D:$D,T_BS!D190,'8.0'!$H:$H),0)</f>
        <v>0</v>
      </c>
      <c r="U190" s="15">
        <f t="shared" si="44"/>
        <v>0</v>
      </c>
      <c r="W190" s="39">
        <f t="shared" si="48"/>
        <v>12814714</v>
      </c>
      <c r="Y190" s="5">
        <f>SUM(Y188:Y189)</f>
        <v>5713383880</v>
      </c>
      <c r="AB190" s="39">
        <v>12814714</v>
      </c>
      <c r="AC190" s="710">
        <f t="shared" si="34"/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 ht="18" customHeight="1">
      <c r="A191" s="5"/>
      <c r="D191" s="14">
        <v>215300</v>
      </c>
      <c r="E191" s="6" t="s">
        <v>162</v>
      </c>
      <c r="F191" s="40">
        <v>3402</v>
      </c>
      <c r="G191" s="6" t="s">
        <v>173</v>
      </c>
      <c r="H191" s="5">
        <v>-1245870</v>
      </c>
      <c r="I191" s="211">
        <v>0</v>
      </c>
      <c r="J191" s="211">
        <v>0</v>
      </c>
      <c r="K191" s="15">
        <f t="shared" si="47"/>
        <v>-1245870</v>
      </c>
      <c r="M191" s="676">
        <f>-SUMIF('1.0'!$D:$D,T_BS!D191,'1.0'!$N:$N)</f>
        <v>0</v>
      </c>
      <c r="N191" s="211">
        <f>-SUMIF('2.0'!$D:$D,T_BS!D191,'2.0'!$N:$N)</f>
        <v>0</v>
      </c>
      <c r="O191" s="7">
        <f>-ROUND(SUMIF('3.0'!$D:$D,T_BS!D191,'3.0'!$H:$H),0)</f>
        <v>0</v>
      </c>
      <c r="P191" s="210">
        <f>-ROUND(SUMIF('4.0'!$D:$D,T_BS!D191,'4.0'!$N:$N),0)</f>
        <v>0</v>
      </c>
      <c r="Q191" s="7">
        <f>-ROUND(SUMIF('5.0'!$D:$D,T_BS!D191,'5.0'!$N:$N),0)</f>
        <v>0</v>
      </c>
      <c r="R191" s="210">
        <f>-ROUND(SUMIF('6.0'!$D:$D,T_BS!D191,'6.0'!$N:$N),0)</f>
        <v>0</v>
      </c>
      <c r="S191" s="210">
        <f>-ROUND(SUMIF('7.0'!$D:$D,T_BS!D191,'7.0'!$I:$I),0)</f>
        <v>0</v>
      </c>
      <c r="T191" s="210">
        <f>-ROUND(SUMIF('8.0'!$D:$D,T_BS!D191,'8.0'!$H:$H),0)</f>
        <v>0</v>
      </c>
      <c r="U191" s="15">
        <f t="shared" si="44"/>
        <v>0</v>
      </c>
      <c r="W191" s="39">
        <f t="shared" si="48"/>
        <v>-1245870</v>
      </c>
      <c r="Y191" s="5">
        <v>5262860167</v>
      </c>
      <c r="AB191" s="39">
        <v>-1245870</v>
      </c>
      <c r="AC191" s="710">
        <f t="shared" si="34"/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 ht="18" customHeight="1">
      <c r="A192" s="5"/>
      <c r="D192" s="14">
        <v>215400</v>
      </c>
      <c r="E192" s="6" t="s">
        <v>162</v>
      </c>
      <c r="F192" s="40">
        <v>3402</v>
      </c>
      <c r="G192" s="6" t="s">
        <v>174</v>
      </c>
      <c r="H192" s="5">
        <v>1710365</v>
      </c>
      <c r="I192" s="211">
        <v>0</v>
      </c>
      <c r="J192" s="211">
        <v>0</v>
      </c>
      <c r="K192" s="15">
        <f t="shared" si="47"/>
        <v>1710365</v>
      </c>
      <c r="M192" s="676">
        <f>-SUMIF('1.0'!$D:$D,T_BS!D192,'1.0'!$N:$N)</f>
        <v>0</v>
      </c>
      <c r="N192" s="211">
        <f>-SUMIF('2.0'!$D:$D,T_BS!D192,'2.0'!$N:$N)</f>
        <v>0</v>
      </c>
      <c r="O192" s="7">
        <f>-ROUND(SUMIF('3.0'!$D:$D,T_BS!D192,'3.0'!$H:$H),0)</f>
        <v>0</v>
      </c>
      <c r="P192" s="210">
        <f>-ROUND(SUMIF('4.0'!$D:$D,T_BS!D192,'4.0'!$N:$N),0)</f>
        <v>0</v>
      </c>
      <c r="Q192" s="7">
        <f>-ROUND(SUMIF('5.0'!$D:$D,T_BS!D192,'5.0'!$N:$N),0)</f>
        <v>0</v>
      </c>
      <c r="R192" s="210">
        <f>-ROUND(SUMIF('6.0'!$D:$D,T_BS!D192,'6.0'!$N:$N),0)</f>
        <v>0</v>
      </c>
      <c r="S192" s="210">
        <f>-ROUND(SUMIF('7.0'!$D:$D,T_BS!D192,'7.0'!$I:$I),0)</f>
        <v>0</v>
      </c>
      <c r="T192" s="210">
        <f>-ROUND(SUMIF('8.0'!$D:$D,T_BS!D192,'8.0'!$H:$H),0)</f>
        <v>0</v>
      </c>
      <c r="U192" s="15">
        <f t="shared" si="44"/>
        <v>0</v>
      </c>
      <c r="W192" s="39">
        <f t="shared" si="48"/>
        <v>1710365</v>
      </c>
      <c r="Y192" s="5">
        <f>Y190-Y191</f>
        <v>450523713</v>
      </c>
      <c r="AB192" s="39">
        <v>1710365</v>
      </c>
      <c r="AC192" s="710">
        <f t="shared" si="34"/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</row>
    <row r="193" spans="1:35" ht="18" customHeight="1">
      <c r="A193" s="5"/>
      <c r="D193" s="14">
        <v>215500</v>
      </c>
      <c r="E193" s="6" t="s">
        <v>162</v>
      </c>
      <c r="F193" s="40">
        <v>3402</v>
      </c>
      <c r="G193" s="6" t="s">
        <v>175</v>
      </c>
      <c r="H193" s="5">
        <v>9394370</v>
      </c>
      <c r="I193" s="211">
        <v>0</v>
      </c>
      <c r="J193" s="211">
        <v>0</v>
      </c>
      <c r="K193" s="15">
        <f t="shared" si="47"/>
        <v>9394370</v>
      </c>
      <c r="M193" s="676">
        <f>-SUMIF('1.0'!$D:$D,T_BS!D193,'1.0'!$N:$N)</f>
        <v>0</v>
      </c>
      <c r="N193" s="211">
        <f>-SUMIF('2.0'!$D:$D,T_BS!D193,'2.0'!$N:$N)</f>
        <v>0</v>
      </c>
      <c r="O193" s="7">
        <f>-ROUND(SUMIF('3.0'!$D:$D,T_BS!D193,'3.0'!$H:$H),0)</f>
        <v>0</v>
      </c>
      <c r="P193" s="210">
        <f>-ROUND(SUMIF('4.0'!$D:$D,T_BS!D193,'4.0'!$N:$N),0)</f>
        <v>0</v>
      </c>
      <c r="Q193" s="7">
        <f>-ROUND(SUMIF('5.0'!$D:$D,T_BS!D193,'5.0'!$N:$N),0)</f>
        <v>0</v>
      </c>
      <c r="R193" s="210">
        <f>-ROUND(SUMIF('6.0'!$D:$D,T_BS!D193,'6.0'!$N:$N),0)</f>
        <v>0</v>
      </c>
      <c r="S193" s="210">
        <f>-ROUND(SUMIF('7.0'!$D:$D,T_BS!D193,'7.0'!$I:$I),0)</f>
        <v>0</v>
      </c>
      <c r="T193" s="210">
        <f>-ROUND(SUMIF('8.0'!$D:$D,T_BS!D193,'8.0'!$H:$H),0)</f>
        <v>0</v>
      </c>
      <c r="U193" s="15">
        <f t="shared" si="44"/>
        <v>0</v>
      </c>
      <c r="W193" s="39">
        <f t="shared" si="48"/>
        <v>9394370</v>
      </c>
      <c r="Y193" s="5"/>
      <c r="AB193" s="39">
        <v>9394370</v>
      </c>
      <c r="AC193" s="710">
        <f t="shared" si="34"/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 ht="18" customHeight="1">
      <c r="A194" s="5"/>
      <c r="D194" s="14">
        <v>215900</v>
      </c>
      <c r="E194" s="6" t="s">
        <v>162</v>
      </c>
      <c r="F194" s="40">
        <v>3402</v>
      </c>
      <c r="G194" s="6" t="s">
        <v>176</v>
      </c>
      <c r="H194" s="5">
        <v>841665433</v>
      </c>
      <c r="I194" s="211">
        <v>100105697</v>
      </c>
      <c r="J194" s="211">
        <v>6832996</v>
      </c>
      <c r="K194" s="15">
        <f t="shared" si="47"/>
        <v>948604126</v>
      </c>
      <c r="M194" s="676">
        <f>-SUMIF('1.0'!$D:$D,T_BS!D194,'1.0'!$N:$N)</f>
        <v>0</v>
      </c>
      <c r="N194" s="211">
        <f>-SUMIF('2.0'!$D:$D,T_BS!D194,'2.0'!$N:$N)</f>
        <v>0</v>
      </c>
      <c r="O194" s="7">
        <f>-ROUND(SUMIF('3.0'!$D:$D,T_BS!D194,'3.0'!$H:$H),0)</f>
        <v>0</v>
      </c>
      <c r="P194" s="210">
        <f>-ROUND(SUMIF('4.0'!$D:$D,T_BS!D194,'4.0'!$N:$N),0)</f>
        <v>0</v>
      </c>
      <c r="Q194" s="7">
        <f>-ROUND(SUMIF('5.0'!$D:$D,T_BS!D194,'5.0'!$N:$N),0)</f>
        <v>0</v>
      </c>
      <c r="R194" s="210">
        <f>-ROUND(SUMIF('6.0'!$D:$D,T_BS!D194,'6.0'!$N:$N),0)</f>
        <v>0</v>
      </c>
      <c r="S194" s="210">
        <f>-ROUND(SUMIF('7.0'!$D:$D,T_BS!D194,'7.0'!$I:$I),0)</f>
        <v>0</v>
      </c>
      <c r="T194" s="210">
        <f>-ROUND(SUMIF('8.0'!$D:$D,T_BS!D194,'8.0'!$H:$H),0)</f>
        <v>0</v>
      </c>
      <c r="U194" s="15">
        <f t="shared" si="44"/>
        <v>0</v>
      </c>
      <c r="W194" s="39">
        <f t="shared" si="48"/>
        <v>948604126</v>
      </c>
      <c r="Y194" s="5"/>
      <c r="AB194" s="39">
        <v>948604126</v>
      </c>
      <c r="AC194" s="710">
        <f t="shared" si="34"/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 ht="18" customHeight="1">
      <c r="A195" s="5"/>
      <c r="D195" s="14">
        <v>215700</v>
      </c>
      <c r="E195" s="6" t="s">
        <v>162</v>
      </c>
      <c r="F195" s="40">
        <v>3402</v>
      </c>
      <c r="G195" s="6" t="s">
        <v>177</v>
      </c>
      <c r="H195" s="5">
        <v>0</v>
      </c>
      <c r="I195" s="211">
        <v>0</v>
      </c>
      <c r="J195" s="211">
        <v>0</v>
      </c>
      <c r="K195" s="15">
        <f t="shared" si="47"/>
        <v>0</v>
      </c>
      <c r="M195" s="676">
        <f>-SUMIF('1.0'!$D:$D,T_BS!D195,'1.0'!$N:$N)</f>
        <v>0</v>
      </c>
      <c r="N195" s="211">
        <f>-SUMIF('2.0'!$D:$D,T_BS!D195,'2.0'!$N:$N)</f>
        <v>0</v>
      </c>
      <c r="O195" s="7">
        <f>-ROUND(SUMIF('3.0'!$D:$D,T_BS!D195,'3.0'!$H:$H),0)</f>
        <v>0</v>
      </c>
      <c r="P195" s="210">
        <f>-ROUND(SUMIF('4.0'!$D:$D,T_BS!D195,'4.0'!$N:$N),0)</f>
        <v>0</v>
      </c>
      <c r="Q195" s="7">
        <f>-ROUND(SUMIF('5.0'!$D:$D,T_BS!D195,'5.0'!$N:$N),0)</f>
        <v>0</v>
      </c>
      <c r="R195" s="210">
        <f>-ROUND(SUMIF('6.0'!$D:$D,T_BS!D195,'6.0'!$N:$N),0)</f>
        <v>0</v>
      </c>
      <c r="S195" s="210">
        <f>-ROUND(SUMIF('7.0'!$D:$D,T_BS!D195,'7.0'!$I:$I),0)</f>
        <v>0</v>
      </c>
      <c r="T195" s="210">
        <f>-ROUND(SUMIF('8.0'!$D:$D,T_BS!D195,'8.0'!$H:$H),0)</f>
        <v>0</v>
      </c>
      <c r="U195" s="15">
        <f t="shared" si="44"/>
        <v>0</v>
      </c>
      <c r="W195" s="39">
        <f t="shared" si="48"/>
        <v>0</v>
      </c>
      <c r="Y195" s="5"/>
      <c r="AB195" s="39">
        <v>0</v>
      </c>
      <c r="AC195" s="710">
        <f t="shared" si="34"/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 ht="18" customHeight="1">
      <c r="A196" s="5"/>
      <c r="D196" s="14">
        <v>215800</v>
      </c>
      <c r="E196" s="6" t="s">
        <v>162</v>
      </c>
      <c r="F196" s="40">
        <v>3402</v>
      </c>
      <c r="G196" s="6" t="s">
        <v>178</v>
      </c>
      <c r="H196" s="5">
        <v>0</v>
      </c>
      <c r="I196" s="211">
        <v>0</v>
      </c>
      <c r="J196" s="211">
        <v>0</v>
      </c>
      <c r="K196" s="15">
        <f t="shared" si="47"/>
        <v>0</v>
      </c>
      <c r="M196" s="676">
        <f>-SUMIF('1.0'!$D:$D,T_BS!D196,'1.0'!$N:$N)</f>
        <v>0</v>
      </c>
      <c r="N196" s="211">
        <f>-SUMIF('2.0'!$D:$D,T_BS!D196,'2.0'!$N:$N)</f>
        <v>0</v>
      </c>
      <c r="O196" s="7">
        <f>-ROUND(SUMIF('3.0'!$D:$D,T_BS!D196,'3.0'!$H:$H),0)</f>
        <v>0</v>
      </c>
      <c r="P196" s="210">
        <f>-ROUND(SUMIF('4.0'!$D:$D,T_BS!D196,'4.0'!$N:$N),0)</f>
        <v>0</v>
      </c>
      <c r="Q196" s="7">
        <f>-ROUND(SUMIF('5.0'!$D:$D,T_BS!D196,'5.0'!$N:$N),0)</f>
        <v>0</v>
      </c>
      <c r="R196" s="210">
        <f>-ROUND(SUMIF('6.0'!$D:$D,T_BS!D196,'6.0'!$N:$N),0)</f>
        <v>0</v>
      </c>
      <c r="S196" s="210">
        <f>-ROUND(SUMIF('7.0'!$D:$D,T_BS!D196,'7.0'!$I:$I),0)</f>
        <v>0</v>
      </c>
      <c r="T196" s="210">
        <f>-ROUND(SUMIF('8.0'!$D:$D,T_BS!D196,'8.0'!$H:$H),0)</f>
        <v>0</v>
      </c>
      <c r="U196" s="15">
        <f t="shared" si="44"/>
        <v>0</v>
      </c>
      <c r="W196" s="39">
        <f t="shared" si="48"/>
        <v>0</v>
      </c>
      <c r="Y196" s="5"/>
      <c r="AB196" s="39">
        <v>0</v>
      </c>
      <c r="AC196" s="710">
        <f t="shared" si="34"/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 ht="18" customHeight="1">
      <c r="A197" s="5"/>
      <c r="D197" s="14">
        <v>219000</v>
      </c>
      <c r="E197" s="6" t="s">
        <v>162</v>
      </c>
      <c r="F197" s="627">
        <v>219000</v>
      </c>
      <c r="G197" s="6" t="s">
        <v>179</v>
      </c>
      <c r="H197" s="5">
        <v>1883642907</v>
      </c>
      <c r="I197" s="211">
        <v>0</v>
      </c>
      <c r="J197" s="211">
        <v>0</v>
      </c>
      <c r="K197" s="15">
        <f t="shared" si="47"/>
        <v>1883642907</v>
      </c>
      <c r="M197" s="676">
        <f>-SUMIF('1.0'!$D:$D,T_BS!D197,'1.0'!$N:$N)</f>
        <v>0</v>
      </c>
      <c r="N197" s="211">
        <f>-SUMIF('2.0'!$D:$D,T_BS!D197,'2.0'!$N:$N)</f>
        <v>0</v>
      </c>
      <c r="O197" s="7">
        <f>-ROUND(SUMIF('3.0'!$D:$D,T_BS!D197,'3.0'!$H:$H),0)</f>
        <v>0</v>
      </c>
      <c r="P197" s="210">
        <f>-ROUND(SUMIF('4.0'!$D:$D,T_BS!D197,'4.0'!$N:$N),0)</f>
        <v>0</v>
      </c>
      <c r="Q197" s="7">
        <f>-ROUND(SUMIF('5.0'!$D:$D,T_BS!D197,'5.0'!$N:$N),0)</f>
        <v>0</v>
      </c>
      <c r="R197" s="210">
        <f>-ROUND(SUMIF('6.0'!$D:$D,T_BS!D197,'6.0'!$N:$N),0)</f>
        <v>0</v>
      </c>
      <c r="S197" s="210">
        <f>-ROUND(SUMIF('7.0'!$D:$D,T_BS!D197,'7.0'!$I:$I),0)</f>
        <v>0</v>
      </c>
      <c r="T197" s="210">
        <f>-ROUND(SUMIF('8.0'!$D:$D,T_BS!D197,'8.0'!$H:$H),0)</f>
        <v>0</v>
      </c>
      <c r="U197" s="15">
        <f t="shared" si="44"/>
        <v>0</v>
      </c>
      <c r="W197" s="39">
        <f t="shared" si="48"/>
        <v>1883642907</v>
      </c>
      <c r="Y197" s="5"/>
      <c r="AB197" s="39">
        <v>1626211933</v>
      </c>
      <c r="AC197" s="710">
        <f t="shared" si="34"/>
        <v>257430974</v>
      </c>
      <c r="AE197" s="5">
        <v>121909710</v>
      </c>
      <c r="AF197" s="5">
        <v>0</v>
      </c>
      <c r="AG197" s="5">
        <v>0</v>
      </c>
      <c r="AH197" s="5">
        <v>135521264</v>
      </c>
      <c r="AI197" s="5">
        <v>257430974</v>
      </c>
    </row>
    <row r="198" spans="1:35" ht="18" customHeight="1">
      <c r="A198" s="5"/>
      <c r="D198" s="14">
        <v>220000</v>
      </c>
      <c r="E198" s="6" t="s">
        <v>162</v>
      </c>
      <c r="F198" s="40">
        <v>3401</v>
      </c>
      <c r="G198" s="6" t="s">
        <v>1979</v>
      </c>
      <c r="H198" s="5">
        <v>0</v>
      </c>
      <c r="I198" s="211">
        <v>1156001</v>
      </c>
      <c r="J198" s="211">
        <v>0</v>
      </c>
      <c r="K198" s="15">
        <f>SUM(H198:J198)</f>
        <v>1156001</v>
      </c>
      <c r="M198" s="676">
        <f>-SUMIF('1.0'!$D:$D,T_BS!D198,'1.0'!$N:$N)</f>
        <v>0</v>
      </c>
      <c r="N198" s="211">
        <f>-SUMIF('2.0'!$D:$D,T_BS!D198,'2.0'!$N:$N)</f>
        <v>0</v>
      </c>
      <c r="O198" s="7">
        <f>-ROUND(SUMIF('3.0'!$D:$D,T_BS!D198,'3.0'!$H:$H),0)</f>
        <v>0</v>
      </c>
      <c r="P198" s="210">
        <f>-ROUND(SUMIF('4.0'!$D:$D,T_BS!D198,'4.0'!$N:$N),0)</f>
        <v>0</v>
      </c>
      <c r="Q198" s="7">
        <f>-ROUND(SUMIF('5.0'!$D:$D,T_BS!D198,'5.0'!$N:$N),0)</f>
        <v>0</v>
      </c>
      <c r="R198" s="210">
        <f>-ROUND(SUMIF('6.0'!$D:$D,T_BS!D198,'6.0'!$N:$N),0)</f>
        <v>0</v>
      </c>
      <c r="S198" s="210">
        <f>-ROUND(SUMIF('7.0'!$D:$D,T_BS!D198,'7.0'!$I:$I),0)</f>
        <v>0</v>
      </c>
      <c r="T198" s="210">
        <f>-ROUND(SUMIF('8.0'!$D:$D,T_BS!D198,'8.0'!$H:$H),0)</f>
        <v>0</v>
      </c>
      <c r="U198" s="15">
        <f>SUM(M198:T198)</f>
        <v>0</v>
      </c>
      <c r="W198" s="39">
        <f>U198+K198</f>
        <v>1156001</v>
      </c>
      <c r="Y198" s="5"/>
      <c r="AB198" s="39">
        <v>1156001</v>
      </c>
      <c r="AC198" s="710">
        <f t="shared" si="34"/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 ht="18" customHeight="1">
      <c r="A199" s="5"/>
      <c r="D199" s="14">
        <v>223100</v>
      </c>
      <c r="E199" s="6" t="s">
        <v>162</v>
      </c>
      <c r="F199" s="40">
        <v>3404</v>
      </c>
      <c r="G199" s="6" t="s">
        <v>180</v>
      </c>
      <c r="H199" s="5">
        <v>327831696</v>
      </c>
      <c r="I199" s="211">
        <v>0</v>
      </c>
      <c r="J199" s="211">
        <v>0</v>
      </c>
      <c r="K199" s="15">
        <f t="shared" si="47"/>
        <v>327831696</v>
      </c>
      <c r="M199" s="676">
        <f>-SUMIF('1.0'!$D:$D,T_BS!D199,'1.0'!$N:$N)</f>
        <v>0</v>
      </c>
      <c r="N199" s="211">
        <f>-SUMIF('2.0'!$D:$D,T_BS!D199,'2.0'!$N:$N)</f>
        <v>0</v>
      </c>
      <c r="O199" s="7">
        <f>-ROUND(SUMIF('3.0'!$D:$D,T_BS!D199,'3.0'!$H:$H),0)</f>
        <v>0</v>
      </c>
      <c r="P199" s="210">
        <f>-ROUND(SUMIF('4.0'!$D:$D,T_BS!D199,'4.0'!$N:$N),0)</f>
        <v>0</v>
      </c>
      <c r="Q199" s="7">
        <f>-ROUND(SUMIF('5.0'!$D:$D,T_BS!D199,'5.0'!$N:$N),0)</f>
        <v>0</v>
      </c>
      <c r="R199" s="210">
        <f>-ROUND(SUMIF('6.0'!$D:$D,T_BS!D199,'6.0'!$N:$N),0)</f>
        <v>0</v>
      </c>
      <c r="S199" s="210">
        <f>-ROUND(SUMIF('7.0'!$D:$D,T_BS!D199,'7.0'!$I:$I),0)</f>
        <v>0</v>
      </c>
      <c r="T199" s="210">
        <f>-ROUND(SUMIF('8.0'!$D:$D,T_BS!D199,'8.0'!$H:$H),0)</f>
        <v>0</v>
      </c>
      <c r="U199" s="15">
        <f t="shared" si="44"/>
        <v>0</v>
      </c>
      <c r="W199" s="39">
        <f t="shared" si="48"/>
        <v>327831696</v>
      </c>
      <c r="Y199" s="5"/>
      <c r="AB199" s="39">
        <v>327831696</v>
      </c>
      <c r="AC199" s="710">
        <f t="shared" si="34"/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 ht="18" customHeight="1">
      <c r="A200" s="5"/>
      <c r="D200" s="14">
        <v>223130</v>
      </c>
      <c r="E200" s="6" t="s">
        <v>162</v>
      </c>
      <c r="F200" s="40" t="s">
        <v>2008</v>
      </c>
      <c r="G200" s="6" t="s">
        <v>181</v>
      </c>
      <c r="H200" s="5">
        <v>139640731</v>
      </c>
      <c r="I200" s="211">
        <v>0</v>
      </c>
      <c r="J200" s="211">
        <v>0</v>
      </c>
      <c r="K200" s="15">
        <f t="shared" si="47"/>
        <v>139640731</v>
      </c>
      <c r="M200" s="676">
        <f>-SUMIF('1.0'!$D:$D,T_BS!D200,'1.0'!$N:$N)</f>
        <v>0</v>
      </c>
      <c r="N200" s="211">
        <f>-SUMIF('2.0'!$D:$D,T_BS!D200,'2.0'!$N:$N)</f>
        <v>0</v>
      </c>
      <c r="O200" s="7">
        <f>-ROUND(SUMIF('3.0'!$D:$D,T_BS!D200,'3.0'!$H:$H),0)</f>
        <v>0</v>
      </c>
      <c r="P200" s="210">
        <f>-ROUND(SUMIF('4.0'!$D:$D,T_BS!D200,'4.0'!$N:$N),0)</f>
        <v>0</v>
      </c>
      <c r="Q200" s="7">
        <f>-ROUND(SUMIF('5.0'!$D:$D,T_BS!D200,'5.0'!$N:$N),0)</f>
        <v>0</v>
      </c>
      <c r="R200" s="210">
        <f>-ROUND(SUMIF('6.0'!$D:$D,T_BS!D200,'6.0'!$N:$N),0)</f>
        <v>0</v>
      </c>
      <c r="S200" s="210">
        <f>-ROUND(SUMIF('7.0'!$D:$D,T_BS!D200,'7.0'!$I:$I),0)</f>
        <v>0</v>
      </c>
      <c r="T200" s="210">
        <f>-ROUND(SUMIF('8.0'!$D:$D,T_BS!D200,'8.0'!$H:$H),0)</f>
        <v>0</v>
      </c>
      <c r="U200" s="15">
        <f t="shared" si="44"/>
        <v>0</v>
      </c>
      <c r="W200" s="39">
        <f t="shared" si="48"/>
        <v>139640731</v>
      </c>
      <c r="Y200" s="5"/>
      <c r="AB200" s="39">
        <v>139640731</v>
      </c>
      <c r="AC200" s="710">
        <f t="shared" si="34"/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 ht="18" customHeight="1">
      <c r="A201" s="5"/>
      <c r="D201" s="13"/>
      <c r="E201" s="34"/>
      <c r="F201" s="35"/>
      <c r="G201" s="34" t="s">
        <v>182</v>
      </c>
      <c r="H201" s="484">
        <f>H202</f>
        <v>2283537612</v>
      </c>
      <c r="I201" s="417">
        <f>I202</f>
        <v>13400478</v>
      </c>
      <c r="J201" s="417">
        <f>J202</f>
        <v>334882800</v>
      </c>
      <c r="K201" s="645">
        <f>K202</f>
        <v>2631820890</v>
      </c>
      <c r="M201" s="675">
        <f t="shared" ref="M201:W201" si="49">M202</f>
        <v>0</v>
      </c>
      <c r="N201" s="417">
        <f t="shared" si="49"/>
        <v>0</v>
      </c>
      <c r="O201" s="417">
        <f t="shared" si="49"/>
        <v>0</v>
      </c>
      <c r="P201" s="417">
        <f t="shared" si="49"/>
        <v>0</v>
      </c>
      <c r="Q201" s="417">
        <f t="shared" si="49"/>
        <v>0</v>
      </c>
      <c r="R201" s="417">
        <f t="shared" si="49"/>
        <v>0</v>
      </c>
      <c r="S201" s="417">
        <f t="shared" si="49"/>
        <v>0</v>
      </c>
      <c r="T201" s="417">
        <f t="shared" si="49"/>
        <v>0</v>
      </c>
      <c r="U201" s="645">
        <f t="shared" si="49"/>
        <v>0</v>
      </c>
      <c r="W201" s="36">
        <f t="shared" si="49"/>
        <v>2631820890</v>
      </c>
      <c r="Y201" s="5"/>
      <c r="AB201" s="36">
        <v>2552307036</v>
      </c>
      <c r="AC201" s="710">
        <f t="shared" ref="AC201:AC243" si="50">W201-AB201</f>
        <v>79513854</v>
      </c>
      <c r="AE201" s="5">
        <v>0</v>
      </c>
      <c r="AF201" s="5">
        <v>687996</v>
      </c>
      <c r="AG201" s="5">
        <v>78825858</v>
      </c>
      <c r="AH201" s="5">
        <v>0</v>
      </c>
      <c r="AI201" s="5">
        <v>79513854</v>
      </c>
    </row>
    <row r="202" spans="1:35" ht="18" customHeight="1">
      <c r="A202" s="5"/>
      <c r="D202" s="14">
        <v>223110</v>
      </c>
      <c r="E202" s="6" t="s">
        <v>1708</v>
      </c>
      <c r="F202" s="40">
        <v>3504</v>
      </c>
      <c r="G202" s="6" t="s">
        <v>182</v>
      </c>
      <c r="H202" s="5">
        <v>2283537612</v>
      </c>
      <c r="I202" s="211">
        <v>13400478</v>
      </c>
      <c r="J202" s="211">
        <v>334882800</v>
      </c>
      <c r="K202" s="15">
        <f>SUM(H202:J202)</f>
        <v>2631820890</v>
      </c>
      <c r="M202" s="676">
        <f>-SUMIF('1.0'!$D:$D,T_BS!D202,'1.0'!$N:$N)</f>
        <v>0</v>
      </c>
      <c r="N202" s="211">
        <f>-SUMIF('2.0'!$D:$D,T_BS!D202,'2.0'!$N:$N)</f>
        <v>0</v>
      </c>
      <c r="O202" s="7">
        <f>-ROUND(SUMIF('3.0'!$D:$D,T_BS!D202,'3.0'!$H:$H),0)</f>
        <v>0</v>
      </c>
      <c r="P202" s="210">
        <f>-ROUND(SUMIF('4.0'!$D:$D,T_BS!D202,'4.0'!$N:$N),0)</f>
        <v>0</v>
      </c>
      <c r="Q202" s="7">
        <f>-ROUND(SUMIF('5.0'!$D:$D,T_BS!D202,'5.0'!$N:$N),0)</f>
        <v>0</v>
      </c>
      <c r="R202" s="210">
        <f>-ROUND(SUMIF('6.0'!$D:$D,T_BS!D202,'6.0'!$N:$N),0)</f>
        <v>0</v>
      </c>
      <c r="S202" s="210">
        <f>-ROUND(SUMIF('7.0'!$D:$D,T_BS!D202,'7.0'!$I:$I),0)</f>
        <v>0</v>
      </c>
      <c r="T202" s="210">
        <f>-ROUND(SUMIF('8.0'!$D:$D,T_BS!D202,'8.0'!$H:$H),0)</f>
        <v>0</v>
      </c>
      <c r="U202" s="15">
        <f t="shared" si="44"/>
        <v>0</v>
      </c>
      <c r="W202" s="39">
        <f>U202+K202</f>
        <v>2631820890</v>
      </c>
      <c r="Y202" s="5"/>
      <c r="AB202" s="39">
        <v>2552307036</v>
      </c>
      <c r="AC202" s="710">
        <f t="shared" si="50"/>
        <v>79513854</v>
      </c>
      <c r="AE202" s="5">
        <v>0</v>
      </c>
      <c r="AF202" s="5">
        <v>687996</v>
      </c>
      <c r="AG202" s="5">
        <v>78825858</v>
      </c>
      <c r="AH202" s="5">
        <v>0</v>
      </c>
      <c r="AI202" s="5">
        <v>79513854</v>
      </c>
    </row>
    <row r="203" spans="1:35" s="2" customFormat="1" ht="18" customHeight="1">
      <c r="A203" s="5"/>
      <c r="B203" s="47"/>
      <c r="C203" s="47"/>
      <c r="D203" s="13"/>
      <c r="E203" s="34"/>
      <c r="F203" s="35"/>
      <c r="G203" s="34" t="s">
        <v>218</v>
      </c>
      <c r="H203" s="484">
        <f>H204</f>
        <v>0</v>
      </c>
      <c r="I203" s="417">
        <f>I204</f>
        <v>0</v>
      </c>
      <c r="J203" s="417">
        <f>J204</f>
        <v>3057354</v>
      </c>
      <c r="K203" s="645">
        <f>K204</f>
        <v>3057354</v>
      </c>
      <c r="L203" s="678"/>
      <c r="M203" s="675">
        <f t="shared" ref="M203:W203" si="51">M204</f>
        <v>0</v>
      </c>
      <c r="N203" s="417">
        <f t="shared" si="51"/>
        <v>0</v>
      </c>
      <c r="O203" s="417">
        <f t="shared" si="51"/>
        <v>0</v>
      </c>
      <c r="P203" s="417">
        <f t="shared" si="51"/>
        <v>0</v>
      </c>
      <c r="Q203" s="417">
        <f t="shared" si="51"/>
        <v>0</v>
      </c>
      <c r="R203" s="417">
        <f t="shared" si="51"/>
        <v>0</v>
      </c>
      <c r="S203" s="417">
        <f t="shared" si="51"/>
        <v>0</v>
      </c>
      <c r="T203" s="417">
        <f t="shared" si="51"/>
        <v>0</v>
      </c>
      <c r="U203" s="645">
        <f t="shared" si="51"/>
        <v>0</v>
      </c>
      <c r="W203" s="36">
        <f t="shared" si="51"/>
        <v>3057354</v>
      </c>
      <c r="Y203" s="5"/>
      <c r="AB203" s="36">
        <v>56314352</v>
      </c>
      <c r="AC203" s="710">
        <f t="shared" si="50"/>
        <v>-53256998</v>
      </c>
      <c r="AE203" s="5">
        <v>0</v>
      </c>
      <c r="AF203" s="5">
        <v>0</v>
      </c>
      <c r="AG203" s="5">
        <v>-53256998</v>
      </c>
      <c r="AH203" s="5">
        <v>0</v>
      </c>
      <c r="AI203" s="5">
        <v>-53256998</v>
      </c>
    </row>
    <row r="204" spans="1:35" ht="18" customHeight="1">
      <c r="A204" s="5"/>
      <c r="D204" s="45" t="s">
        <v>2009</v>
      </c>
      <c r="E204" s="6" t="s">
        <v>1709</v>
      </c>
      <c r="F204" s="40">
        <v>3201</v>
      </c>
      <c r="G204" s="6" t="s">
        <v>218</v>
      </c>
      <c r="H204" s="5">
        <v>0</v>
      </c>
      <c r="I204" s="211">
        <v>0</v>
      </c>
      <c r="J204" s="211">
        <v>3057354</v>
      </c>
      <c r="K204" s="15">
        <f>SUM(H204:J204)</f>
        <v>3057354</v>
      </c>
      <c r="M204" s="676">
        <f>-SUMIF('1.0'!$D:$D,T_BS!D204,'1.0'!$N:$N)</f>
        <v>0</v>
      </c>
      <c r="N204" s="211">
        <f>-SUMIF('2.0'!$D:$D,T_BS!D204,'2.0'!$N:$N)</f>
        <v>0</v>
      </c>
      <c r="O204" s="7">
        <f>-ROUND(SUMIF('3.0'!$D:$D,T_BS!D204,'3.0'!$H:$H),0)</f>
        <v>0</v>
      </c>
      <c r="P204" s="210">
        <f>-ROUND(SUMIF('4.0'!$D:$D,T_BS!D204,'4.0'!$N:$N),0)</f>
        <v>0</v>
      </c>
      <c r="Q204" s="7">
        <f>-ROUND(SUMIF('5.0'!$D:$D,T_BS!D204,'5.0'!$N:$N),0)</f>
        <v>0</v>
      </c>
      <c r="R204" s="210">
        <f>-ROUND(SUMIF('6.0'!$D:$D,T_BS!D204,'6.0'!$N:$N),0)</f>
        <v>0</v>
      </c>
      <c r="S204" s="210">
        <f>-ROUND(SUMIF('7.0'!$D:$D,T_BS!D204,'7.0'!$I:$I),0)</f>
        <v>0</v>
      </c>
      <c r="T204" s="210">
        <f>-ROUND(SUMIF('8.0'!$D:$D,T_BS!D204,'8.0'!$H:$H),0)</f>
        <v>0</v>
      </c>
      <c r="U204" s="15">
        <f t="shared" si="44"/>
        <v>0</v>
      </c>
      <c r="W204" s="39">
        <f>U204+K204</f>
        <v>3057354</v>
      </c>
      <c r="Y204" s="5"/>
      <c r="AB204" s="39">
        <v>56314352</v>
      </c>
      <c r="AC204" s="710">
        <f t="shared" si="50"/>
        <v>-53256998</v>
      </c>
      <c r="AE204" s="5">
        <v>0</v>
      </c>
      <c r="AF204" s="5">
        <v>0</v>
      </c>
      <c r="AG204" s="5">
        <v>-53256998</v>
      </c>
      <c r="AH204" s="5">
        <v>0</v>
      </c>
      <c r="AI204" s="5">
        <v>-53256998</v>
      </c>
    </row>
    <row r="205" spans="1:35" ht="18" customHeight="1">
      <c r="A205" s="5"/>
      <c r="D205" s="12"/>
      <c r="E205" s="31"/>
      <c r="F205" s="32"/>
      <c r="G205" s="31" t="s">
        <v>183</v>
      </c>
      <c r="H205" s="479">
        <f>SUM(H206,H209,H211)+H213+H215</f>
        <v>3489911413</v>
      </c>
      <c r="I205" s="446">
        <f>SUM(I206,I209,I211)+I213+I215</f>
        <v>10537478</v>
      </c>
      <c r="J205" s="446">
        <f>SUM(J206,J209,J211)+J213+J215</f>
        <v>379128964</v>
      </c>
      <c r="K205" s="461">
        <f>SUM(K206,K209,K211)+K213+K215</f>
        <v>3879577855</v>
      </c>
      <c r="M205" s="445">
        <f>SUM(M206,M209,M211)+M213</f>
        <v>0</v>
      </c>
      <c r="N205" s="446">
        <f>SUM(N206,N209,N211)+N213</f>
        <v>0</v>
      </c>
      <c r="O205" s="446">
        <f>SUM(O206,O209,O211)+O213</f>
        <v>0</v>
      </c>
      <c r="P205" s="446">
        <f>SUM(P206,P209,P211)+P213</f>
        <v>0</v>
      </c>
      <c r="Q205" s="446">
        <f>SUM(Q206,Q209,Q211)+Q213+Q215</f>
        <v>0</v>
      </c>
      <c r="R205" s="446">
        <f>SUM(R206,R209,R211)+R213+R215</f>
        <v>0</v>
      </c>
      <c r="S205" s="446">
        <f>SUM(S206,S209,S211)+S213+S215</f>
        <v>0</v>
      </c>
      <c r="T205" s="446">
        <f>SUM(T206,T209,T211)+T213+T215</f>
        <v>0</v>
      </c>
      <c r="U205" s="461">
        <f>SUM(U206,U209,U211)+U213+U215</f>
        <v>0</v>
      </c>
      <c r="W205" s="33">
        <f>SUM(W206,W209,W211)+W213+W215</f>
        <v>3879577855</v>
      </c>
      <c r="Y205" s="5"/>
      <c r="AB205" s="33">
        <v>3553617612</v>
      </c>
      <c r="AC205" s="710">
        <f t="shared" si="50"/>
        <v>325960243</v>
      </c>
      <c r="AE205" s="5">
        <v>0</v>
      </c>
      <c r="AF205" s="5">
        <v>-687996</v>
      </c>
      <c r="AG205" s="5">
        <v>326648239</v>
      </c>
      <c r="AH205" s="5">
        <v>0</v>
      </c>
      <c r="AI205" s="5">
        <v>325960243</v>
      </c>
    </row>
    <row r="206" spans="1:35" ht="18" customHeight="1">
      <c r="A206" s="5"/>
      <c r="D206" s="13"/>
      <c r="E206" s="34"/>
      <c r="F206" s="35"/>
      <c r="G206" s="34" t="s">
        <v>184</v>
      </c>
      <c r="H206" s="484">
        <f>SUM(H207:H208)</f>
        <v>770249729</v>
      </c>
      <c r="I206" s="417">
        <f>SUM(I207:I208)</f>
        <v>0</v>
      </c>
      <c r="J206" s="417">
        <f>SUM(J207:J208)</f>
        <v>52480725</v>
      </c>
      <c r="K206" s="645">
        <f>SUM(K207:K208)</f>
        <v>822730454</v>
      </c>
      <c r="M206" s="675">
        <f t="shared" ref="M206:R206" si="52">SUM(M207:M208)</f>
        <v>0</v>
      </c>
      <c r="N206" s="417">
        <f t="shared" si="52"/>
        <v>0</v>
      </c>
      <c r="O206" s="417">
        <f t="shared" si="52"/>
        <v>0</v>
      </c>
      <c r="P206" s="417">
        <f t="shared" si="52"/>
        <v>0</v>
      </c>
      <c r="Q206" s="417">
        <f t="shared" si="52"/>
        <v>0</v>
      </c>
      <c r="R206" s="417">
        <f t="shared" si="52"/>
        <v>0</v>
      </c>
      <c r="S206" s="417">
        <f>SUM(S207:S208)</f>
        <v>0</v>
      </c>
      <c r="T206" s="417">
        <f>SUM(T207:T208)</f>
        <v>0</v>
      </c>
      <c r="U206" s="645">
        <f>SUM(U207:U208)</f>
        <v>0</v>
      </c>
      <c r="W206" s="36">
        <f>SUM(W207:W208)</f>
        <v>822730454</v>
      </c>
      <c r="Y206" s="5"/>
      <c r="AB206" s="36">
        <v>822730454</v>
      </c>
      <c r="AC206" s="710">
        <f t="shared" si="50"/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</row>
    <row r="207" spans="1:35" ht="18" customHeight="1">
      <c r="A207" s="5"/>
      <c r="D207" s="14">
        <v>230700</v>
      </c>
      <c r="E207" s="6" t="s">
        <v>184</v>
      </c>
      <c r="F207" s="40">
        <v>4201</v>
      </c>
      <c r="G207" s="6" t="s">
        <v>185</v>
      </c>
      <c r="H207" s="5">
        <v>6679186569</v>
      </c>
      <c r="I207" s="211">
        <v>0</v>
      </c>
      <c r="J207" s="211">
        <v>52480725</v>
      </c>
      <c r="K207" s="15">
        <f>SUM(H207:J207)</f>
        <v>6731667294</v>
      </c>
      <c r="M207" s="676">
        <f>-SUMIF('1.0'!$D:$D,T_BS!D207,'1.0'!$N:$N)</f>
        <v>0</v>
      </c>
      <c r="N207" s="211">
        <f>-SUMIF('2.0'!$D:$D,T_BS!D207,'2.0'!$N:$N)</f>
        <v>0</v>
      </c>
      <c r="O207" s="7">
        <f>-ROUND(SUMIF('3.0'!$D:$D,T_BS!D207,'3.0'!$H:$H),0)</f>
        <v>0</v>
      </c>
      <c r="P207" s="210">
        <f>-ROUND(SUMIF('4.0'!$D:$D,T_BS!D207,'4.0'!$N:$N),0)</f>
        <v>0</v>
      </c>
      <c r="Q207" s="7">
        <f>-ROUND(SUMIF('5.0'!$D:$D,T_BS!D207,'5.0'!$N:$N),0)</f>
        <v>0</v>
      </c>
      <c r="R207" s="210">
        <f>-ROUND(SUMIF('6.0'!$D:$D,T_BS!D207,'6.0'!$N:$N),0)</f>
        <v>0</v>
      </c>
      <c r="S207" s="210">
        <f>-ROUND(SUMIF('7.0'!$D:$D,T_BS!D207,'7.0'!$I:$I),0)</f>
        <v>0</v>
      </c>
      <c r="T207" s="210">
        <f>-ROUND(SUMIF('8.0'!$D:$D,T_BS!D207,'8.0'!$H:$H),0)</f>
        <v>0</v>
      </c>
      <c r="U207" s="15">
        <f>SUM(M207:T207)</f>
        <v>0</v>
      </c>
      <c r="W207" s="39">
        <f>U207+K207</f>
        <v>6731667294</v>
      </c>
      <c r="Y207" s="5"/>
      <c r="AB207" s="39">
        <v>6731667294</v>
      </c>
      <c r="AC207" s="710">
        <f t="shared" si="50"/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 ht="18" customHeight="1">
      <c r="A208" s="5"/>
      <c r="D208" s="14">
        <v>122110</v>
      </c>
      <c r="E208" s="6" t="s">
        <v>184</v>
      </c>
      <c r="F208" s="40">
        <v>4202</v>
      </c>
      <c r="G208" s="6" t="s">
        <v>186</v>
      </c>
      <c r="H208" s="5">
        <v>-5908936840</v>
      </c>
      <c r="I208" s="211">
        <v>0</v>
      </c>
      <c r="J208" s="211">
        <v>0</v>
      </c>
      <c r="K208" s="15">
        <f>SUM(H208:J208)</f>
        <v>-5908936840</v>
      </c>
      <c r="M208" s="676">
        <f>-SUMIF('1.0'!$D:$D,T_BS!D208,'1.0'!$N:$N)</f>
        <v>0</v>
      </c>
      <c r="N208" s="211">
        <f>-SUMIF('2.0'!$D:$D,T_BS!D208,'2.0'!$N:$N)</f>
        <v>0</v>
      </c>
      <c r="O208" s="7">
        <f>-ROUND(SUMIF('3.0'!$D:$D,T_BS!D208,'3.0'!$H:$H),0)</f>
        <v>0</v>
      </c>
      <c r="P208" s="210">
        <f>-ROUND(SUMIF('4.0'!$D:$D,T_BS!D208,'4.0'!$N:$N),0)</f>
        <v>0</v>
      </c>
      <c r="Q208" s="7">
        <f>-ROUND(SUMIF('5.0'!$D:$D,T_BS!D208,'5.0'!$N:$N),0)</f>
        <v>0</v>
      </c>
      <c r="R208" s="210">
        <f>-ROUND(SUMIF('6.0'!$D:$D,T_BS!D208,'6.0'!$N:$N),0)</f>
        <v>0</v>
      </c>
      <c r="S208" s="210">
        <f>-ROUND(SUMIF('7.0'!$D:$D,T_BS!D208,'7.0'!$I:$I),0)</f>
        <v>0</v>
      </c>
      <c r="T208" s="210">
        <f>-ROUND(SUMIF('8.0'!$D:$D,T_BS!D208,'8.0'!$H:$H),0)</f>
        <v>0</v>
      </c>
      <c r="U208" s="15">
        <f>SUM(M208:T208)</f>
        <v>0</v>
      </c>
      <c r="W208" s="39">
        <f>U208+K208</f>
        <v>-5908936840</v>
      </c>
      <c r="Y208" s="5"/>
      <c r="AB208" s="39">
        <v>-5908936840</v>
      </c>
      <c r="AC208" s="710">
        <f t="shared" si="50"/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 ht="18" customHeight="1">
      <c r="A209" s="5"/>
      <c r="D209" s="13"/>
      <c r="E209" s="34"/>
      <c r="F209" s="35"/>
      <c r="G209" s="34" t="s">
        <v>187</v>
      </c>
      <c r="H209" s="484">
        <f>H210</f>
        <v>118883200</v>
      </c>
      <c r="I209" s="417">
        <f t="shared" ref="I209:W209" si="53">I210</f>
        <v>0</v>
      </c>
      <c r="J209" s="417">
        <f t="shared" si="53"/>
        <v>0</v>
      </c>
      <c r="K209" s="645">
        <f t="shared" si="53"/>
        <v>118883200</v>
      </c>
      <c r="M209" s="675">
        <f t="shared" si="53"/>
        <v>0</v>
      </c>
      <c r="N209" s="417">
        <f t="shared" si="53"/>
        <v>0</v>
      </c>
      <c r="O209" s="417">
        <f t="shared" si="53"/>
        <v>0</v>
      </c>
      <c r="P209" s="417">
        <f t="shared" si="53"/>
        <v>0</v>
      </c>
      <c r="Q209" s="417">
        <f t="shared" si="53"/>
        <v>0</v>
      </c>
      <c r="R209" s="417">
        <f t="shared" si="53"/>
        <v>0</v>
      </c>
      <c r="S209" s="417">
        <f t="shared" si="53"/>
        <v>0</v>
      </c>
      <c r="T209" s="417">
        <f t="shared" si="53"/>
        <v>0</v>
      </c>
      <c r="U209" s="645">
        <f t="shared" si="53"/>
        <v>0</v>
      </c>
      <c r="W209" s="36">
        <f t="shared" si="53"/>
        <v>118883200</v>
      </c>
      <c r="Y209" s="5"/>
      <c r="AB209" s="36">
        <v>118883200</v>
      </c>
      <c r="AC209" s="710">
        <f t="shared" si="50"/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</row>
    <row r="210" spans="1:35" ht="18" customHeight="1">
      <c r="A210" s="5"/>
      <c r="D210" s="14">
        <v>230900</v>
      </c>
      <c r="E210" s="6" t="s">
        <v>1710</v>
      </c>
      <c r="F210" s="40">
        <v>4402</v>
      </c>
      <c r="G210" s="6" t="s">
        <v>188</v>
      </c>
      <c r="H210" s="5">
        <v>118883200</v>
      </c>
      <c r="I210" s="211">
        <v>0</v>
      </c>
      <c r="J210" s="211">
        <v>0</v>
      </c>
      <c r="K210" s="15">
        <f>SUM(H210:J210)</f>
        <v>118883200</v>
      </c>
      <c r="M210" s="676">
        <f>-SUMIF('1.0'!$D:$D,T_BS!D210,'1.0'!$N:$N)</f>
        <v>0</v>
      </c>
      <c r="N210" s="211">
        <f>-SUMIF('2.0'!$D:$D,T_BS!D210,'2.0'!$N:$N)</f>
        <v>0</v>
      </c>
      <c r="O210" s="7">
        <f>-ROUND(SUMIF('3.0'!$D:$D,T_BS!D210,'3.0'!$H:$H),0)</f>
        <v>0</v>
      </c>
      <c r="P210" s="210">
        <f>-ROUND(SUMIF('4.0'!$D:$D,T_BS!D210,'4.0'!$N:$N),0)</f>
        <v>0</v>
      </c>
      <c r="Q210" s="7">
        <f>-ROUND(SUMIF('5.0'!$D:$D,T_BS!D210,'5.0'!$N:$N),0)</f>
        <v>0</v>
      </c>
      <c r="R210" s="210">
        <f>-ROUND(SUMIF('6.0'!$D:$D,T_BS!D210,'6.0'!$N:$N),0)</f>
        <v>0</v>
      </c>
      <c r="S210" s="210">
        <f>-ROUND(SUMIF('7.0'!$D:$D,T_BS!D210,'7.0'!$I:$I),0)</f>
        <v>0</v>
      </c>
      <c r="T210" s="210">
        <f>-ROUND(SUMIF('8.0'!$D:$D,T_BS!D210,'8.0'!$H:$H),0)</f>
        <v>0</v>
      </c>
      <c r="U210" s="15">
        <f>SUM(M210:T210)</f>
        <v>0</v>
      </c>
      <c r="W210" s="39">
        <f>U210+K210</f>
        <v>118883200</v>
      </c>
      <c r="Y210" s="5"/>
      <c r="AB210" s="39">
        <v>118883200</v>
      </c>
      <c r="AC210" s="710">
        <f t="shared" si="50"/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</row>
    <row r="211" spans="1:35" ht="18" customHeight="1">
      <c r="A211" s="5"/>
      <c r="D211" s="13"/>
      <c r="E211" s="34"/>
      <c r="F211" s="35"/>
      <c r="G211" s="34" t="s">
        <v>189</v>
      </c>
      <c r="H211" s="484">
        <f>H212</f>
        <v>2377969284</v>
      </c>
      <c r="I211" s="417">
        <f t="shared" ref="I211:W213" si="54">I212</f>
        <v>10537478</v>
      </c>
      <c r="J211" s="417">
        <f t="shared" si="54"/>
        <v>326648239</v>
      </c>
      <c r="K211" s="645">
        <f t="shared" si="54"/>
        <v>2715155001</v>
      </c>
      <c r="M211" s="675">
        <f t="shared" si="54"/>
        <v>0</v>
      </c>
      <c r="N211" s="417">
        <f t="shared" si="54"/>
        <v>0</v>
      </c>
      <c r="O211" s="417">
        <f t="shared" si="54"/>
        <v>0</v>
      </c>
      <c r="P211" s="417">
        <f t="shared" si="54"/>
        <v>0</v>
      </c>
      <c r="Q211" s="417">
        <f t="shared" si="54"/>
        <v>0</v>
      </c>
      <c r="R211" s="417">
        <f t="shared" si="54"/>
        <v>0</v>
      </c>
      <c r="S211" s="417">
        <f t="shared" si="54"/>
        <v>0</v>
      </c>
      <c r="T211" s="417">
        <f t="shared" si="54"/>
        <v>0</v>
      </c>
      <c r="U211" s="645">
        <f t="shared" si="54"/>
        <v>0</v>
      </c>
      <c r="W211" s="36">
        <f t="shared" si="54"/>
        <v>2715155001</v>
      </c>
      <c r="Y211" s="5"/>
      <c r="AB211" s="36">
        <v>2389194758</v>
      </c>
      <c r="AC211" s="710">
        <f t="shared" si="50"/>
        <v>325960243</v>
      </c>
      <c r="AE211" s="5">
        <v>0</v>
      </c>
      <c r="AF211" s="5">
        <v>-687996</v>
      </c>
      <c r="AG211" s="5">
        <v>326648239</v>
      </c>
      <c r="AH211" s="5">
        <v>0</v>
      </c>
      <c r="AI211" s="5">
        <v>325960243</v>
      </c>
    </row>
    <row r="212" spans="1:35" ht="18" customHeight="1">
      <c r="A212" s="5"/>
      <c r="D212" s="14">
        <v>231600</v>
      </c>
      <c r="E212" s="6" t="s">
        <v>1711</v>
      </c>
      <c r="F212" s="40">
        <v>4601</v>
      </c>
      <c r="G212" s="6" t="s">
        <v>189</v>
      </c>
      <c r="H212" s="5">
        <v>2377969284</v>
      </c>
      <c r="I212" s="211">
        <v>10537478</v>
      </c>
      <c r="J212" s="211">
        <v>326648239</v>
      </c>
      <c r="K212" s="15">
        <f>SUM(H212:J212)</f>
        <v>2715155001</v>
      </c>
      <c r="M212" s="676">
        <f>-SUMIF('1.0'!$D:$D,T_BS!D212,'1.0'!$N:$N)</f>
        <v>0</v>
      </c>
      <c r="N212" s="211">
        <f>-SUMIF('2.0'!$D:$D,T_BS!D212,'2.0'!$N:$N)</f>
        <v>0</v>
      </c>
      <c r="O212" s="7">
        <f>-ROUND(SUMIF('3.0'!$D:$D,T_BS!D212,'3.0'!$H:$H),0)</f>
        <v>0</v>
      </c>
      <c r="P212" s="210">
        <f>-ROUND(SUMIF('4.0'!$D:$D,T_BS!D212,'4.0'!$N:$N),0)</f>
        <v>0</v>
      </c>
      <c r="Q212" s="7">
        <f>-ROUND(SUMIF('5.0'!$D:$D,T_BS!D212,'5.0'!$N:$N),0)</f>
        <v>0</v>
      </c>
      <c r="R212" s="210">
        <f>-ROUND(SUMIF('6.0'!$D:$D,T_BS!D212,'6.0'!$N:$N),0)</f>
        <v>0</v>
      </c>
      <c r="S212" s="210">
        <f>-ROUND(SUMIF('7.0'!$D:$D,T_BS!D212,'7.0'!$I:$I),0)</f>
        <v>0</v>
      </c>
      <c r="T212" s="210">
        <f>-ROUND(SUMIF('8.0'!$D:$D,T_BS!D212,'8.0'!$H:$H),0)</f>
        <v>0</v>
      </c>
      <c r="U212" s="15">
        <f>SUM(M212:T212)</f>
        <v>0</v>
      </c>
      <c r="W212" s="39">
        <f>U212+K212</f>
        <v>2715155001</v>
      </c>
      <c r="Y212" s="5"/>
      <c r="AB212" s="39">
        <v>2389194758</v>
      </c>
      <c r="AC212" s="710">
        <f t="shared" si="50"/>
        <v>325960243</v>
      </c>
      <c r="AE212" s="5">
        <v>0</v>
      </c>
      <c r="AF212" s="5">
        <v>-687996</v>
      </c>
      <c r="AG212" s="5">
        <v>326648239</v>
      </c>
      <c r="AH212" s="5">
        <v>0</v>
      </c>
      <c r="AI212" s="5">
        <v>325960243</v>
      </c>
    </row>
    <row r="213" spans="1:35" ht="18" customHeight="1">
      <c r="A213" s="5"/>
      <c r="D213" s="13"/>
      <c r="E213" s="34"/>
      <c r="F213" s="35"/>
      <c r="G213" s="34" t="s">
        <v>485</v>
      </c>
      <c r="H213" s="484">
        <f>H214</f>
        <v>0</v>
      </c>
      <c r="I213" s="417">
        <f t="shared" si="54"/>
        <v>0</v>
      </c>
      <c r="J213" s="417">
        <f t="shared" si="54"/>
        <v>0</v>
      </c>
      <c r="K213" s="645">
        <f t="shared" si="54"/>
        <v>0</v>
      </c>
      <c r="M213" s="675">
        <f t="shared" si="54"/>
        <v>0</v>
      </c>
      <c r="N213" s="417">
        <f t="shared" si="54"/>
        <v>0</v>
      </c>
      <c r="O213" s="417">
        <f t="shared" si="54"/>
        <v>0</v>
      </c>
      <c r="P213" s="417">
        <f t="shared" si="54"/>
        <v>0</v>
      </c>
      <c r="Q213" s="417">
        <f t="shared" si="54"/>
        <v>0</v>
      </c>
      <c r="R213" s="417">
        <f t="shared" si="54"/>
        <v>0</v>
      </c>
      <c r="S213" s="417">
        <f t="shared" si="54"/>
        <v>0</v>
      </c>
      <c r="T213" s="417">
        <f t="shared" si="54"/>
        <v>0</v>
      </c>
      <c r="U213" s="645">
        <f t="shared" si="54"/>
        <v>0</v>
      </c>
      <c r="W213" s="36">
        <f t="shared" si="54"/>
        <v>0</v>
      </c>
      <c r="Y213" s="5"/>
      <c r="AB213" s="36">
        <v>0</v>
      </c>
      <c r="AC213" s="710">
        <f t="shared" si="50"/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</row>
    <row r="214" spans="1:35" ht="18" customHeight="1">
      <c r="A214" s="5"/>
      <c r="D214" s="45" t="s">
        <v>1348</v>
      </c>
      <c r="E214" s="6" t="s">
        <v>1712</v>
      </c>
      <c r="F214" s="40">
        <v>4301</v>
      </c>
      <c r="G214" s="6" t="s">
        <v>485</v>
      </c>
      <c r="H214" s="5">
        <v>0</v>
      </c>
      <c r="I214" s="211">
        <v>0</v>
      </c>
      <c r="J214" s="211">
        <v>0</v>
      </c>
      <c r="K214" s="15">
        <f>SUM(H214:J214)</f>
        <v>0</v>
      </c>
      <c r="M214" s="676">
        <f>-SUMIF('1.0'!$D:$D,T_BS!D214,'1.0'!$N:$N)</f>
        <v>0</v>
      </c>
      <c r="N214" s="211">
        <f>-SUMIF('2.0'!$D:$D,T_BS!D214,'2.0'!$N:$N)</f>
        <v>0</v>
      </c>
      <c r="O214" s="7">
        <f>-ROUND(SUMIF('3.0'!$D:$D,T_BS!D214,'3.0'!$H:$H),0)</f>
        <v>0</v>
      </c>
      <c r="P214" s="210">
        <f>-ROUND(SUMIF('4.0'!$D:$D,T_BS!D214,'4.0'!$N:$N),0)</f>
        <v>0</v>
      </c>
      <c r="Q214" s="7">
        <f>-ROUND(SUMIF('5.0'!$D:$D,T_BS!D214,'5.0'!$N:$N),0)</f>
        <v>0</v>
      </c>
      <c r="R214" s="210">
        <f>-ROUND(SUMIF('6.0'!$D:$D,T_BS!D214,'6.0'!$N:$N),0)</f>
        <v>0</v>
      </c>
      <c r="S214" s="210">
        <f>-ROUND(SUMIF('7.0'!$D:$D,T_BS!D214,'7.0'!$I:$I),0)</f>
        <v>0</v>
      </c>
      <c r="T214" s="210">
        <f>-ROUND(SUMIF('8.0'!$D:$D,T_BS!D214,'8.0'!$H:$H),0)</f>
        <v>0</v>
      </c>
      <c r="U214" s="15">
        <f>SUM(M214:T214)</f>
        <v>0</v>
      </c>
      <c r="W214" s="39">
        <f>U214+K214</f>
        <v>0</v>
      </c>
      <c r="Y214" s="5"/>
      <c r="AB214" s="39">
        <v>0</v>
      </c>
      <c r="AC214" s="710">
        <f t="shared" si="50"/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 ht="18" customHeight="1">
      <c r="A215" s="5"/>
      <c r="D215" s="13"/>
      <c r="E215" s="34"/>
      <c r="F215" s="35"/>
      <c r="G215" s="34" t="s">
        <v>1592</v>
      </c>
      <c r="H215" s="484">
        <f>SUM(H216:H218)</f>
        <v>222809200</v>
      </c>
      <c r="I215" s="417">
        <f>SUM(I216:I218)</f>
        <v>0</v>
      </c>
      <c r="J215" s="417">
        <f>SUM(J216:J218)</f>
        <v>0</v>
      </c>
      <c r="K215" s="645">
        <f>SUM(K216:K218)</f>
        <v>222809200</v>
      </c>
      <c r="M215" s="675"/>
      <c r="N215" s="417"/>
      <c r="O215" s="417"/>
      <c r="P215" s="417"/>
      <c r="Q215" s="417">
        <f>SUM(Q216:Q218)</f>
        <v>0</v>
      </c>
      <c r="R215" s="417">
        <f>SUM(R216:R218)</f>
        <v>0</v>
      </c>
      <c r="S215" s="417">
        <f>SUM(S216:S218)</f>
        <v>0</v>
      </c>
      <c r="T215" s="417">
        <f>SUM(T216:T218)</f>
        <v>0</v>
      </c>
      <c r="U215" s="645">
        <f>SUM(U216:U218)</f>
        <v>0</v>
      </c>
      <c r="W215" s="36">
        <f>SUM(W216:W218)</f>
        <v>222809200</v>
      </c>
      <c r="Y215" s="5"/>
      <c r="AB215" s="36">
        <v>222809200</v>
      </c>
      <c r="AC215" s="710">
        <f t="shared" si="50"/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</row>
    <row r="216" spans="1:35" ht="18" customHeight="1">
      <c r="A216" s="5"/>
      <c r="B216" s="276"/>
      <c r="D216" s="45" t="s">
        <v>1595</v>
      </c>
      <c r="E216" s="6" t="s">
        <v>1592</v>
      </c>
      <c r="F216" s="46">
        <v>4103</v>
      </c>
      <c r="G216" s="6" t="s">
        <v>1593</v>
      </c>
      <c r="H216" s="5">
        <v>0</v>
      </c>
      <c r="I216" s="211">
        <v>0</v>
      </c>
      <c r="J216" s="211">
        <v>0</v>
      </c>
      <c r="K216" s="15">
        <f>SUM(H216:J216)</f>
        <v>0</v>
      </c>
      <c r="M216" s="676">
        <f>-SUMIF('1.0'!$D:$D,T_BS!D216,'1.0'!$N:$N)</f>
        <v>0</v>
      </c>
      <c r="N216" s="211">
        <f>-SUMIF('2.0'!$D:$D,T_BS!D216,'2.0'!$N:$N)</f>
        <v>0</v>
      </c>
      <c r="O216" s="7">
        <f>-ROUND(SUMIF('3.0'!$D:$D,T_BS!D216,'3.0'!$H:$H),0)</f>
        <v>0</v>
      </c>
      <c r="P216" s="210">
        <f>-ROUND(SUMIF('4.0'!$D:$D,T_BS!D216,'4.0'!$N:$N),0)</f>
        <v>0</v>
      </c>
      <c r="Q216" s="7">
        <f>-ROUND(SUMIF('5.0'!$D:$D,T_BS!D216,'5.0'!$N:$N),0)</f>
        <v>0</v>
      </c>
      <c r="R216" s="210">
        <f>-ROUND(SUMIF('6.0'!$D:$D,T_BS!D216,'6.0'!$N:$N),0)</f>
        <v>0</v>
      </c>
      <c r="S216" s="210">
        <f>-ROUND(SUMIF('7.0'!$D:$D,T_BS!D216,'7.0'!$I:$I),0)</f>
        <v>0</v>
      </c>
      <c r="T216" s="210">
        <f>-ROUND(SUMIF('8.0'!$D:$D,T_BS!D216,'8.0'!$H:$H),0)</f>
        <v>0</v>
      </c>
      <c r="U216" s="15">
        <f>SUM(M216:T216)</f>
        <v>0</v>
      </c>
      <c r="W216" s="39">
        <f>U216+K216</f>
        <v>0</v>
      </c>
      <c r="Y216" s="5"/>
      <c r="AB216" s="39">
        <v>0</v>
      </c>
      <c r="AC216" s="710">
        <f t="shared" si="50"/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 ht="18" customHeight="1">
      <c r="A217" s="5"/>
      <c r="B217" s="276"/>
      <c r="D217" s="679">
        <v>231200</v>
      </c>
      <c r="E217" s="38" t="s">
        <v>1592</v>
      </c>
      <c r="F217" s="680">
        <v>4104</v>
      </c>
      <c r="G217" s="38" t="s">
        <v>1805</v>
      </c>
      <c r="H217" s="5">
        <v>222809200</v>
      </c>
      <c r="I217" s="211">
        <v>0</v>
      </c>
      <c r="J217" s="211">
        <v>0</v>
      </c>
      <c r="K217" s="15">
        <f>SUM(H217:J217)</f>
        <v>222809200</v>
      </c>
      <c r="M217" s="676">
        <f>-SUMIF('1.0'!$D:$D,T_BS!D217,'1.0'!$N:$N)</f>
        <v>0</v>
      </c>
      <c r="N217" s="211">
        <f>-SUMIF('2.0'!$D:$D,T_BS!D217,'2.0'!$N:$N)</f>
        <v>0</v>
      </c>
      <c r="O217" s="7">
        <f>-ROUND(SUMIF('3.0'!$D:$D,T_BS!D217,'3.0'!$H:$H),0)</f>
        <v>0</v>
      </c>
      <c r="P217" s="210">
        <f>-ROUND(SUMIF('4.0'!$D:$D,T_BS!D217,'4.0'!$N:$N),0)</f>
        <v>0</v>
      </c>
      <c r="Q217" s="7">
        <f>-ROUND(SUMIF('5.0'!$D:$D,T_BS!D217,'5.0'!$N:$N),0)</f>
        <v>0</v>
      </c>
      <c r="R217" s="210">
        <f>-ROUND(SUMIF('6.0'!$D:$D,T_BS!D217,'6.0'!$N:$N),0)</f>
        <v>0</v>
      </c>
      <c r="S217" s="210">
        <f>-ROUND(SUMIF('7.0'!$D:$D,T_BS!D217,'7.0'!$I:$I),0)</f>
        <v>0</v>
      </c>
      <c r="T217" s="210">
        <f>-ROUND(SUMIF('8.0'!$D:$D,T_BS!D217,'8.0'!$H:$H),0)</f>
        <v>0</v>
      </c>
      <c r="U217" s="15">
        <f>SUM(M217:T217)</f>
        <v>0</v>
      </c>
      <c r="W217" s="39">
        <f>U217+K217</f>
        <v>222809200</v>
      </c>
      <c r="Y217" s="5"/>
      <c r="AB217" s="39">
        <v>222809200</v>
      </c>
      <c r="AC217" s="710">
        <f t="shared" si="50"/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</row>
    <row r="218" spans="1:35" ht="18" customHeight="1">
      <c r="A218" s="5"/>
      <c r="B218" s="276"/>
      <c r="D218" s="45" t="s">
        <v>1596</v>
      </c>
      <c r="E218" s="6" t="s">
        <v>1592</v>
      </c>
      <c r="F218" s="46">
        <v>4103</v>
      </c>
      <c r="G218" s="6" t="s">
        <v>1594</v>
      </c>
      <c r="H218" s="5">
        <v>0</v>
      </c>
      <c r="I218" s="211">
        <v>0</v>
      </c>
      <c r="J218" s="211">
        <v>0</v>
      </c>
      <c r="K218" s="15">
        <f>SUM(H218:J218)</f>
        <v>0</v>
      </c>
      <c r="M218" s="676">
        <f>-SUMIF('1.0'!$D:$D,T_BS!D218,'1.0'!$N:$N)</f>
        <v>0</v>
      </c>
      <c r="N218" s="211">
        <f>-SUMIF('2.0'!$D:$D,T_BS!D218,'2.0'!$N:$N)</f>
        <v>0</v>
      </c>
      <c r="O218" s="7">
        <f>-ROUND(SUMIF('3.0'!$D:$D,T_BS!D218,'3.0'!$H:$H),0)</f>
        <v>0</v>
      </c>
      <c r="P218" s="210">
        <f>-ROUND(SUMIF('4.0'!$D:$D,T_BS!D218,'4.0'!$N:$N),0)</f>
        <v>0</v>
      </c>
      <c r="Q218" s="7">
        <f>-ROUND(SUMIF('5.0'!$D:$D,T_BS!D218,'5.0'!$N:$N),0)</f>
        <v>0</v>
      </c>
      <c r="R218" s="210">
        <f>-ROUND(SUMIF('6.0'!$D:$D,T_BS!D218,'6.0'!$N:$N),0)</f>
        <v>0</v>
      </c>
      <c r="S218" s="210">
        <f>-ROUND(SUMIF('7.0'!$D:$D,T_BS!D218,'7.0'!$I:$I),0)</f>
        <v>0</v>
      </c>
      <c r="T218" s="210">
        <f>-ROUND(SUMIF('8.0'!$D:$D,T_BS!D218,'8.0'!$H:$H),0)</f>
        <v>0</v>
      </c>
      <c r="U218" s="15">
        <f>SUM(M218:T218)</f>
        <v>0</v>
      </c>
      <c r="W218" s="39">
        <f>U218+K218</f>
        <v>0</v>
      </c>
      <c r="Y218" s="5"/>
      <c r="AB218" s="39">
        <v>0</v>
      </c>
      <c r="AC218" s="710">
        <f t="shared" si="50"/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 ht="18" customHeight="1">
      <c r="A219" s="5"/>
      <c r="D219" s="11"/>
      <c r="E219" s="28"/>
      <c r="F219" s="29"/>
      <c r="G219" s="28" t="s">
        <v>14</v>
      </c>
      <c r="H219" s="473">
        <f>SUM(H220,H241)</f>
        <v>96598050530</v>
      </c>
      <c r="I219" s="643">
        <f>SUM(I220,I241)</f>
        <v>-245646986</v>
      </c>
      <c r="J219" s="643">
        <f>SUM(J220,J241)</f>
        <v>3391663241</v>
      </c>
      <c r="K219" s="644">
        <f>SUM(K220,K241)</f>
        <v>99744066785</v>
      </c>
      <c r="M219" s="674">
        <f t="shared" ref="M219:R219" si="55">SUM(M220,M241)</f>
        <v>19842800</v>
      </c>
      <c r="N219" s="643">
        <f t="shared" si="55"/>
        <v>0</v>
      </c>
      <c r="O219" s="643">
        <f t="shared" si="55"/>
        <v>0</v>
      </c>
      <c r="P219" s="643">
        <f t="shared" si="55"/>
        <v>-32204791</v>
      </c>
      <c r="Q219" s="643">
        <f t="shared" si="55"/>
        <v>1998694169</v>
      </c>
      <c r="R219" s="643">
        <f t="shared" si="55"/>
        <v>0</v>
      </c>
      <c r="S219" s="643">
        <f>SUM(S220,S241)</f>
        <v>0</v>
      </c>
      <c r="T219" s="643">
        <f>SUM(T220,T241)</f>
        <v>-5928999995</v>
      </c>
      <c r="U219" s="644">
        <f>SUM(U220,U241)</f>
        <v>-3942667817</v>
      </c>
      <c r="W219" s="30">
        <f>SUM(W220,W241)</f>
        <v>95801398968</v>
      </c>
      <c r="Y219" s="5"/>
      <c r="AB219" s="30">
        <v>96482854339</v>
      </c>
      <c r="AC219" s="710">
        <f t="shared" si="50"/>
        <v>-681455371</v>
      </c>
      <c r="AE219" s="5">
        <v>-303274493</v>
      </c>
      <c r="AF219" s="5">
        <v>0</v>
      </c>
      <c r="AG219" s="5">
        <v>40334122</v>
      </c>
      <c r="AH219" s="5">
        <v>113485000</v>
      </c>
      <c r="AI219" s="5">
        <v>-149455371</v>
      </c>
    </row>
    <row r="220" spans="1:35" ht="18" customHeight="1">
      <c r="A220" s="5"/>
      <c r="D220" s="12"/>
      <c r="E220" s="31"/>
      <c r="F220" s="32"/>
      <c r="G220" s="31" t="s">
        <v>11</v>
      </c>
      <c r="H220" s="479">
        <f>SUM(H221,H223,H227,H237)</f>
        <v>96598050530</v>
      </c>
      <c r="I220" s="446">
        <f>SUM(I221,I223,I227,I237)</f>
        <v>-245646986</v>
      </c>
      <c r="J220" s="446">
        <f>SUM(J221,J223,J227,J237)</f>
        <v>3391663241</v>
      </c>
      <c r="K220" s="461">
        <f>SUM(K221,K223,K227,K237)</f>
        <v>99744066785</v>
      </c>
      <c r="M220" s="445">
        <f t="shared" ref="M220:R220" si="56">SUM(M221,M223,M227,M237)</f>
        <v>19842800</v>
      </c>
      <c r="N220" s="446">
        <f t="shared" si="56"/>
        <v>0</v>
      </c>
      <c r="O220" s="446">
        <f t="shared" si="56"/>
        <v>0</v>
      </c>
      <c r="P220" s="446">
        <f t="shared" si="56"/>
        <v>-32204791</v>
      </c>
      <c r="Q220" s="446">
        <f t="shared" si="56"/>
        <v>1998694169</v>
      </c>
      <c r="R220" s="446">
        <f t="shared" si="56"/>
        <v>0</v>
      </c>
      <c r="S220" s="446">
        <f>SUM(S221,S223,S227,S237)</f>
        <v>0</v>
      </c>
      <c r="T220" s="446">
        <f>SUM(T221,T223,T227,T237)</f>
        <v>-5928999995</v>
      </c>
      <c r="U220" s="461">
        <f>SUM(U221,U223,U227,U237)</f>
        <v>-3942667817</v>
      </c>
      <c r="W220" s="33">
        <f>SUM(W221,W223,W227,W237)</f>
        <v>95801398968</v>
      </c>
      <c r="Y220" s="5"/>
      <c r="AB220" s="33">
        <v>96482854339</v>
      </c>
      <c r="AC220" s="710">
        <f t="shared" si="50"/>
        <v>-681455371</v>
      </c>
      <c r="AE220" s="5">
        <v>-303274493</v>
      </c>
      <c r="AF220" s="5">
        <v>0</v>
      </c>
      <c r="AG220" s="5">
        <v>40334122</v>
      </c>
      <c r="AH220" s="5">
        <v>113485000</v>
      </c>
      <c r="AI220" s="5">
        <v>-149455371</v>
      </c>
    </row>
    <row r="221" spans="1:35" ht="18" customHeight="1">
      <c r="A221" s="5"/>
      <c r="D221" s="13"/>
      <c r="E221" s="34"/>
      <c r="F221" s="35"/>
      <c r="G221" s="34" t="s">
        <v>10</v>
      </c>
      <c r="H221" s="484">
        <f>H222</f>
        <v>28429923500</v>
      </c>
      <c r="I221" s="417">
        <f t="shared" ref="I221:W221" si="57">I222</f>
        <v>37013277500</v>
      </c>
      <c r="J221" s="417">
        <f t="shared" si="57"/>
        <v>511470000</v>
      </c>
      <c r="K221" s="645">
        <f t="shared" si="57"/>
        <v>65954671000</v>
      </c>
      <c r="M221" s="675">
        <f t="shared" si="57"/>
        <v>0</v>
      </c>
      <c r="N221" s="417">
        <f t="shared" si="57"/>
        <v>0</v>
      </c>
      <c r="O221" s="417">
        <f t="shared" si="57"/>
        <v>0</v>
      </c>
      <c r="P221" s="417">
        <f t="shared" si="57"/>
        <v>0</v>
      </c>
      <c r="Q221" s="417">
        <f t="shared" si="57"/>
        <v>0</v>
      </c>
      <c r="R221" s="417">
        <f t="shared" si="57"/>
        <v>0</v>
      </c>
      <c r="S221" s="417">
        <f t="shared" si="57"/>
        <v>0</v>
      </c>
      <c r="T221" s="417">
        <f t="shared" si="57"/>
        <v>-37524747500</v>
      </c>
      <c r="U221" s="645">
        <f t="shared" si="57"/>
        <v>-37524747500</v>
      </c>
      <c r="W221" s="36">
        <f t="shared" si="57"/>
        <v>28429923500</v>
      </c>
      <c r="Y221" s="5"/>
      <c r="AB221" s="36">
        <v>28429923500</v>
      </c>
      <c r="AC221" s="710">
        <f t="shared" si="50"/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</row>
    <row r="222" spans="1:35" ht="18" customHeight="1">
      <c r="A222" s="5"/>
      <c r="D222" s="14">
        <v>310100</v>
      </c>
      <c r="E222" s="6" t="s">
        <v>10</v>
      </c>
      <c r="F222" s="40">
        <v>5101</v>
      </c>
      <c r="G222" s="6" t="s">
        <v>190</v>
      </c>
      <c r="H222" s="5">
        <v>28429923500</v>
      </c>
      <c r="I222" s="211">
        <v>37013277500</v>
      </c>
      <c r="J222" s="211">
        <v>511470000</v>
      </c>
      <c r="K222" s="15">
        <f>SUM(H222:J222)</f>
        <v>65954671000</v>
      </c>
      <c r="M222" s="676">
        <f>-SUMIF('1.0'!$D:$D,T_BS!D222,'1.0'!$N:$N)</f>
        <v>0</v>
      </c>
      <c r="N222" s="211">
        <f>-SUMIF('2.0'!$D:$D,T_BS!D222,'2.0'!$N:$N)</f>
        <v>0</v>
      </c>
      <c r="O222" s="7">
        <f>-ROUND(SUMIF('3.0'!$D:$D,T_BS!D222,'3.0'!$H:$H),0)</f>
        <v>0</v>
      </c>
      <c r="P222" s="210">
        <f>-ROUND(SUMIF('4.0'!$D:$D,T_BS!D222,'4.0'!$N:$N),0)</f>
        <v>0</v>
      </c>
      <c r="Q222" s="7">
        <f>-ROUND(SUMIF('5.0'!$D:$D,T_BS!D222,'5.0'!$N:$N),0)</f>
        <v>0</v>
      </c>
      <c r="R222" s="210">
        <f>-ROUND(SUMIF('6.0'!$D:$D,T_BS!D222,'6.0'!$N:$N),0)</f>
        <v>0</v>
      </c>
      <c r="S222" s="210">
        <f>-ROUND(SUMIF('7.0'!$D:$D,T_BS!D222,'7.0'!$I:$I),0)</f>
        <v>0</v>
      </c>
      <c r="T222" s="210">
        <f>-ROUND(SUMIF('8.0'!$D:$D,T_BS!D222,'8.0'!$H:$H),0)</f>
        <v>-37524747500</v>
      </c>
      <c r="U222" s="15">
        <f>SUM(M222:T222)</f>
        <v>-37524747500</v>
      </c>
      <c r="W222" s="39">
        <f>U222+K222</f>
        <v>28429923500</v>
      </c>
      <c r="Y222" s="5"/>
      <c r="AB222" s="39">
        <v>28429923500</v>
      </c>
      <c r="AC222" s="710">
        <f t="shared" si="50"/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 ht="18" customHeight="1">
      <c r="A223" s="5"/>
      <c r="D223" s="13"/>
      <c r="E223" s="34"/>
      <c r="F223" s="35"/>
      <c r="G223" s="34" t="s">
        <v>12</v>
      </c>
      <c r="H223" s="484">
        <f>SUM(H224:H226)</f>
        <v>178678362377</v>
      </c>
      <c r="I223" s="417">
        <f>SUM(I224:I226)</f>
        <v>0</v>
      </c>
      <c r="J223" s="417">
        <f>SUM(J224:J226)</f>
        <v>0</v>
      </c>
      <c r="K223" s="645">
        <f>SUM(K224:K226)</f>
        <v>178678362377</v>
      </c>
      <c r="M223" s="675">
        <f t="shared" ref="M223:R223" si="58">SUM(M224:M226)</f>
        <v>-118784521</v>
      </c>
      <c r="N223" s="417">
        <f t="shared" si="58"/>
        <v>0</v>
      </c>
      <c r="O223" s="417">
        <f t="shared" si="58"/>
        <v>0</v>
      </c>
      <c r="P223" s="417">
        <f t="shared" si="58"/>
        <v>0</v>
      </c>
      <c r="Q223" s="417">
        <f t="shared" si="58"/>
        <v>0</v>
      </c>
      <c r="R223" s="417">
        <f t="shared" si="58"/>
        <v>0</v>
      </c>
      <c r="S223" s="417">
        <f>SUM(S224:S226)</f>
        <v>0</v>
      </c>
      <c r="T223" s="417">
        <f>SUM(T224:T226)</f>
        <v>0</v>
      </c>
      <c r="U223" s="645">
        <f>SUM(U224:U226)</f>
        <v>-118784521</v>
      </c>
      <c r="W223" s="36">
        <f>SUM(W224:W226)</f>
        <v>178559577856</v>
      </c>
      <c r="Y223" s="5"/>
      <c r="AB223" s="36">
        <v>178559577856</v>
      </c>
      <c r="AC223" s="710">
        <f t="shared" si="50"/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</row>
    <row r="224" spans="1:35" ht="18" customHeight="1">
      <c r="A224" s="5"/>
      <c r="D224" s="14">
        <v>320100</v>
      </c>
      <c r="E224" s="6" t="s">
        <v>12</v>
      </c>
      <c r="F224" s="40">
        <v>5201</v>
      </c>
      <c r="G224" s="6" t="s">
        <v>191</v>
      </c>
      <c r="H224" s="5">
        <v>177997002186</v>
      </c>
      <c r="I224" s="211">
        <v>0</v>
      </c>
      <c r="J224" s="211">
        <v>0</v>
      </c>
      <c r="K224" s="15">
        <f>SUM(H224:J224)</f>
        <v>177997002186</v>
      </c>
      <c r="M224" s="676">
        <f>-SUMIF('1.0'!$D:$D,T_BS!D224,'1.0'!$N:$N)</f>
        <v>0</v>
      </c>
      <c r="N224" s="211">
        <f>-SUMIF('2.0'!$D:$D,T_BS!D224,'2.0'!$N:$N)</f>
        <v>0</v>
      </c>
      <c r="O224" s="7">
        <f>-ROUND(SUMIF('3.0'!$D:$D,T_BS!D224,'3.0'!$H:$H),0)</f>
        <v>0</v>
      </c>
      <c r="P224" s="210">
        <f>-ROUND(SUMIF('4.0'!$D:$D,T_BS!D224,'4.0'!$N:$N),0)</f>
        <v>0</v>
      </c>
      <c r="Q224" s="7">
        <f>-ROUND(SUMIF('5.0'!$D:$D,T_BS!D224,'5.0'!$N:$N),0)</f>
        <v>0</v>
      </c>
      <c r="R224" s="210">
        <f>-ROUND(SUMIF('6.0'!$D:$D,T_BS!D224,'6.0'!$N:$N),0)</f>
        <v>0</v>
      </c>
      <c r="S224" s="210">
        <f>-ROUND(SUMIF('7.0'!$D:$D,T_BS!D224,'7.0'!$I:$I),0)</f>
        <v>0</v>
      </c>
      <c r="T224" s="210">
        <f>-ROUND(SUMIF('8.0'!$D:$D,T_BS!D224,'8.0'!$H:$H),0)</f>
        <v>0</v>
      </c>
      <c r="U224" s="15">
        <f t="shared" ref="U224:U242" si="59">SUM(M224:T224)</f>
        <v>0</v>
      </c>
      <c r="W224" s="39">
        <f>U224+K224</f>
        <v>177997002186</v>
      </c>
      <c r="Y224" s="5"/>
      <c r="AB224" s="39">
        <v>177997002186</v>
      </c>
      <c r="AC224" s="710">
        <f t="shared" si="50"/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7" ht="18" customHeight="1">
      <c r="A225" s="5"/>
      <c r="D225" s="14">
        <v>320500</v>
      </c>
      <c r="E225" s="6" t="s">
        <v>12</v>
      </c>
      <c r="F225" s="40">
        <v>5203</v>
      </c>
      <c r="G225" s="6" t="s">
        <v>192</v>
      </c>
      <c r="H225" s="5">
        <v>0</v>
      </c>
      <c r="I225" s="211">
        <v>0</v>
      </c>
      <c r="J225" s="211">
        <v>0</v>
      </c>
      <c r="K225" s="15">
        <f>SUM(H225:J225)</f>
        <v>0</v>
      </c>
      <c r="M225" s="676">
        <f>-SUMIF('1.0'!$D:$D,T_BS!D225,'1.0'!$N:$N)</f>
        <v>0</v>
      </c>
      <c r="N225" s="211">
        <f>-SUMIF('2.0'!$D:$D,T_BS!D225,'2.0'!$N:$N)</f>
        <v>0</v>
      </c>
      <c r="O225" s="7">
        <f>-ROUND(SUMIF('3.0'!$D:$D,T_BS!D225,'3.0'!$H:$H),0)</f>
        <v>0</v>
      </c>
      <c r="P225" s="210">
        <f>-ROUND(SUMIF('4.0'!$D:$D,T_BS!D225,'4.0'!$N:$N),0)</f>
        <v>0</v>
      </c>
      <c r="Q225" s="7">
        <f>-ROUND(SUMIF('5.0'!$D:$D,T_BS!D225,'5.0'!$N:$N),0)</f>
        <v>0</v>
      </c>
      <c r="R225" s="210">
        <f>-ROUND(SUMIF('6.0'!$D:$D,T_BS!D225,'6.0'!$N:$N),0)</f>
        <v>0</v>
      </c>
      <c r="S225" s="210">
        <f>-ROUND(SUMIF('7.0'!$D:$D,T_BS!D225,'7.0'!$I:$I),0)</f>
        <v>0</v>
      </c>
      <c r="T225" s="210">
        <f>-ROUND(SUMIF('8.0'!$D:$D,T_BS!D225,'8.0'!$H:$H),0)</f>
        <v>0</v>
      </c>
      <c r="U225" s="15">
        <f t="shared" si="59"/>
        <v>0</v>
      </c>
      <c r="W225" s="39">
        <f>U225+K225</f>
        <v>0</v>
      </c>
      <c r="Y225" s="5"/>
      <c r="AB225" s="39">
        <v>0</v>
      </c>
      <c r="AC225" s="710">
        <f t="shared" si="50"/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7" ht="18" customHeight="1">
      <c r="A226" s="5"/>
      <c r="D226" s="14">
        <v>320300</v>
      </c>
      <c r="E226" s="6" t="s">
        <v>12</v>
      </c>
      <c r="F226" s="40">
        <v>5202</v>
      </c>
      <c r="G226" s="6" t="s">
        <v>193</v>
      </c>
      <c r="H226" s="5">
        <v>681360191</v>
      </c>
      <c r="I226" s="211">
        <v>0</v>
      </c>
      <c r="J226" s="211">
        <v>0</v>
      </c>
      <c r="K226" s="15">
        <f>SUM(H226:J226)</f>
        <v>681360191</v>
      </c>
      <c r="M226" s="676">
        <f>-SUMIF('1.0'!$D:$D,T_BS!D226,'1.0'!$N:$N)</f>
        <v>-118784521</v>
      </c>
      <c r="N226" s="211">
        <f>-SUMIF('2.0'!$D:$D,T_BS!D226,'2.0'!$N:$N)</f>
        <v>0</v>
      </c>
      <c r="O226" s="7">
        <f>-ROUND(SUMIF('3.0'!$D:$D,T_BS!D226,'3.0'!$H:$H),0)</f>
        <v>0</v>
      </c>
      <c r="P226" s="210">
        <f>-ROUND(SUMIF('4.0'!$D:$D,T_BS!D226,'4.0'!$N:$N),0)</f>
        <v>0</v>
      </c>
      <c r="Q226" s="7">
        <f>-ROUND(SUMIF('5.0'!$D:$D,T_BS!D226,'5.0'!$N:$N),0)</f>
        <v>0</v>
      </c>
      <c r="R226" s="210">
        <f>-ROUND(SUMIF('6.0'!$D:$D,T_BS!D226,'6.0'!$N:$N),0)</f>
        <v>0</v>
      </c>
      <c r="S226" s="210">
        <f>-ROUND(SUMIF('7.0'!$D:$D,T_BS!D226,'7.0'!$I:$I),0)</f>
        <v>0</v>
      </c>
      <c r="T226" s="210">
        <f>-ROUND(SUMIF('8.0'!$D:$D,T_BS!D226,'8.0'!$H:$H),0)</f>
        <v>0</v>
      </c>
      <c r="U226" s="15">
        <f t="shared" si="59"/>
        <v>-118784521</v>
      </c>
      <c r="W226" s="39">
        <f>U226+K226</f>
        <v>562575670</v>
      </c>
      <c r="Y226" s="5"/>
      <c r="AB226" s="39">
        <v>562575670</v>
      </c>
      <c r="AC226" s="710">
        <f t="shared" si="50"/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</row>
    <row r="227" spans="1:37" ht="18" customHeight="1">
      <c r="A227" s="5"/>
      <c r="D227" s="13"/>
      <c r="E227" s="34"/>
      <c r="F227" s="35"/>
      <c r="G227" s="34" t="s">
        <v>194</v>
      </c>
      <c r="H227" s="484">
        <f>SUM(H228:H236)</f>
        <v>-7717608103</v>
      </c>
      <c r="I227" s="417">
        <f>SUM(I228:I236)</f>
        <v>1010392673</v>
      </c>
      <c r="J227" s="417">
        <f>SUM(J228:J236)</f>
        <v>-745337715</v>
      </c>
      <c r="K227" s="645">
        <f>SUM(K228:K236)</f>
        <v>-7452553145</v>
      </c>
      <c r="M227" s="675">
        <f t="shared" ref="M227:U227" si="60">SUM(M228:M236)</f>
        <v>0</v>
      </c>
      <c r="N227" s="417">
        <f t="shared" si="60"/>
        <v>0</v>
      </c>
      <c r="O227" s="417">
        <f t="shared" si="60"/>
        <v>0</v>
      </c>
      <c r="P227" s="417">
        <f t="shared" si="60"/>
        <v>0</v>
      </c>
      <c r="Q227" s="417">
        <f t="shared" si="60"/>
        <v>1105074633</v>
      </c>
      <c r="R227" s="417">
        <f t="shared" si="60"/>
        <v>0</v>
      </c>
      <c r="S227" s="417">
        <f t="shared" si="60"/>
        <v>0</v>
      </c>
      <c r="T227" s="417">
        <f t="shared" si="60"/>
        <v>6036794558</v>
      </c>
      <c r="U227" s="645">
        <f t="shared" si="60"/>
        <v>7141869191</v>
      </c>
      <c r="W227" s="36">
        <f>SUM(W228:W236)</f>
        <v>-310683954</v>
      </c>
      <c r="Y227" s="5"/>
      <c r="AB227" s="36">
        <v>-308740056</v>
      </c>
      <c r="AC227" s="710">
        <f t="shared" si="50"/>
        <v>-1943898</v>
      </c>
      <c r="AE227" s="5">
        <v>0</v>
      </c>
      <c r="AF227" s="5">
        <v>0</v>
      </c>
      <c r="AG227" s="5">
        <v>-1943898</v>
      </c>
      <c r="AH227" s="5">
        <v>0</v>
      </c>
      <c r="AI227" s="5">
        <v>-1943898</v>
      </c>
    </row>
    <row r="228" spans="1:37" ht="18" customHeight="1">
      <c r="A228" s="5"/>
      <c r="D228" s="14">
        <v>350300</v>
      </c>
      <c r="E228" s="6" t="s">
        <v>194</v>
      </c>
      <c r="F228" s="40">
        <v>5304</v>
      </c>
      <c r="G228" s="6" t="s">
        <v>195</v>
      </c>
      <c r="H228" s="5">
        <v>-4240000</v>
      </c>
      <c r="I228" s="211">
        <v>0</v>
      </c>
      <c r="J228" s="211">
        <v>0</v>
      </c>
      <c r="K228" s="15">
        <f t="shared" ref="K228:K236" si="61">SUM(H228:J228)</f>
        <v>-4240000</v>
      </c>
      <c r="M228" s="676">
        <f>-SUMIF('1.0'!$D:$D,T_BS!D228,'1.0'!$N:$N)</f>
        <v>0</v>
      </c>
      <c r="N228" s="211">
        <f>-SUMIF('2.0'!$D:$D,T_BS!D228,'2.0'!$N:$N)</f>
        <v>0</v>
      </c>
      <c r="O228" s="7">
        <f>-ROUND(SUMIF('3.0'!$D:$D,T_BS!D228,'3.0'!$H:$H),0)</f>
        <v>0</v>
      </c>
      <c r="P228" s="211">
        <f>-ROUND(SUMIF('4.0'!$D:$D,T_BS!D228,'4.0'!$N:$N),0)</f>
        <v>0</v>
      </c>
      <c r="Q228" s="7">
        <f>-ROUND(SUMIF('5.0'!$D:$D,T_BS!D228,'5.0'!$N:$N),0)</f>
        <v>0</v>
      </c>
      <c r="R228" s="211">
        <f>-ROUND(SUMIF('6.0'!$D:$D,T_BS!D228,'6.0'!$N:$N),0)</f>
        <v>0</v>
      </c>
      <c r="S228" s="211">
        <f>-ROUND(SUMIF('7.0'!$D:$D,T_BS!D228,'7.0'!$I:$I),0)</f>
        <v>0</v>
      </c>
      <c r="T228" s="211">
        <f>-ROUND(SUMIF('8.0'!$D:$D,T_BS!D228,'8.0'!$H:$H),0)</f>
        <v>0</v>
      </c>
      <c r="U228" s="15">
        <f t="shared" si="59"/>
        <v>0</v>
      </c>
      <c r="W228" s="39">
        <f t="shared" ref="W228:W236" si="62">U228+K228</f>
        <v>-4240000</v>
      </c>
      <c r="Y228" s="5"/>
      <c r="AB228" s="39">
        <v>-4240000</v>
      </c>
      <c r="AC228" s="710">
        <f t="shared" si="50"/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7" ht="18" customHeight="1">
      <c r="A229" s="5"/>
      <c r="D229" s="14">
        <v>350350</v>
      </c>
      <c r="E229" s="6" t="s">
        <v>194</v>
      </c>
      <c r="F229" s="40">
        <v>5301</v>
      </c>
      <c r="G229" s="6" t="s">
        <v>196</v>
      </c>
      <c r="H229" s="5">
        <v>-1292039719</v>
      </c>
      <c r="I229" s="211">
        <v>0</v>
      </c>
      <c r="J229" s="211">
        <v>0</v>
      </c>
      <c r="K229" s="15">
        <f t="shared" si="61"/>
        <v>-1292039719</v>
      </c>
      <c r="M229" s="676">
        <f>-SUMIF('1.0'!$D:$D,T_BS!D229,'1.0'!$N:$N)</f>
        <v>0</v>
      </c>
      <c r="N229" s="211">
        <f>-SUMIF('2.0'!$D:$D,T_BS!D229,'2.0'!$N:$N)</f>
        <v>0</v>
      </c>
      <c r="O229" s="7">
        <f>-ROUND(SUMIF('3.0'!$D:$D,T_BS!D229,'3.0'!$H:$H),0)</f>
        <v>0</v>
      </c>
      <c r="P229" s="211">
        <f>-ROUND(SUMIF('4.0'!$D:$D,T_BS!D229,'4.0'!$N:$N),0)</f>
        <v>0</v>
      </c>
      <c r="Q229" s="7">
        <f>-ROUND(SUMIF('5.0'!$D:$D,T_BS!D229,'5.0'!$N:$N),0)</f>
        <v>0</v>
      </c>
      <c r="R229" s="211">
        <f>-ROUND(SUMIF('6.0'!$D:$D,T_BS!D229,'6.0'!$N:$N),0)</f>
        <v>0</v>
      </c>
      <c r="S229" s="211">
        <f>-ROUND(SUMIF('7.0'!$D:$D,T_BS!D229,'7.0'!$I:$I),0)</f>
        <v>0</v>
      </c>
      <c r="T229" s="211">
        <f>-ROUND(SUMIF('8.0'!$D:$D,T_BS!D229,'8.0'!$H:$H),0)</f>
        <v>0</v>
      </c>
      <c r="U229" s="15">
        <f t="shared" si="59"/>
        <v>0</v>
      </c>
      <c r="W229" s="39">
        <f t="shared" si="62"/>
        <v>-1292039719</v>
      </c>
      <c r="Y229" s="5"/>
      <c r="AB229" s="39">
        <v>-1292039719</v>
      </c>
      <c r="AC229" s="710">
        <f t="shared" si="50"/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7" ht="18" customHeight="1">
      <c r="A230" s="5"/>
      <c r="D230" s="14" t="s">
        <v>1349</v>
      </c>
      <c r="E230" s="6" t="s">
        <v>194</v>
      </c>
      <c r="F230" s="40" t="s">
        <v>612</v>
      </c>
      <c r="G230" s="6" t="s">
        <v>225</v>
      </c>
      <c r="H230" s="5">
        <v>0</v>
      </c>
      <c r="I230" s="211">
        <v>0</v>
      </c>
      <c r="J230" s="211">
        <v>0</v>
      </c>
      <c r="K230" s="15">
        <f t="shared" si="61"/>
        <v>0</v>
      </c>
      <c r="M230" s="676">
        <f>-SUMIF('1.0'!$D:$D,T_BS!D230,'1.0'!$N:$N)</f>
        <v>0</v>
      </c>
      <c r="N230" s="211">
        <f>-SUMIF('2.0'!$D:$D,T_BS!D230,'2.0'!$N:$N)</f>
        <v>0</v>
      </c>
      <c r="O230" s="7">
        <f>-ROUND(SUMIF('3.0'!$D:$D,T_BS!D230,'3.0'!$H:$H),0)</f>
        <v>0</v>
      </c>
      <c r="P230" s="211">
        <f>-ROUND(SUMIF('4.0'!$D:$D,T_BS!D230,'4.0'!$N:$N),0)</f>
        <v>0</v>
      </c>
      <c r="Q230" s="7">
        <f>-ROUND(SUMIF('5.0'!$D:$D,T_BS!D230,'5.0'!$N:$N),0)</f>
        <v>0</v>
      </c>
      <c r="R230" s="211">
        <f>-ROUND(SUMIF('6.0'!$D:$D,T_BS!D230,'6.0'!$N:$N),0)</f>
        <v>0</v>
      </c>
      <c r="S230" s="211">
        <f>-ROUND(SUMIF('7.0'!$D:$D,T_BS!D230,'7.0'!$I:$I),0)</f>
        <v>0</v>
      </c>
      <c r="T230" s="211">
        <f>-ROUND(SUMIF('8.0'!$D:$D,T_BS!D230,'8.0'!$H:$H),0)</f>
        <v>0</v>
      </c>
      <c r="U230" s="15">
        <f t="shared" si="59"/>
        <v>0</v>
      </c>
      <c r="W230" s="39">
        <f t="shared" si="62"/>
        <v>0</v>
      </c>
      <c r="Y230" s="5"/>
      <c r="AB230" s="39">
        <v>0</v>
      </c>
      <c r="AC230" s="710">
        <f t="shared" si="50"/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</row>
    <row r="231" spans="1:37" ht="18" customHeight="1">
      <c r="A231" s="5"/>
      <c r="D231" s="14">
        <v>350400</v>
      </c>
      <c r="E231" s="6" t="s">
        <v>194</v>
      </c>
      <c r="F231" s="40">
        <v>5302</v>
      </c>
      <c r="G231" s="6" t="s">
        <v>197</v>
      </c>
      <c r="H231" s="5">
        <v>1298943576</v>
      </c>
      <c r="I231" s="211">
        <v>0</v>
      </c>
      <c r="J231" s="211">
        <v>0</v>
      </c>
      <c r="K231" s="15">
        <f t="shared" si="61"/>
        <v>1298943576</v>
      </c>
      <c r="M231" s="676">
        <f>-SUMIF('1.0'!$D:$D,T_BS!D231,'1.0'!$N:$N)</f>
        <v>0</v>
      </c>
      <c r="N231" s="211">
        <f>-SUMIF('2.0'!$D:$D,T_BS!D231,'2.0'!$N:$N)</f>
        <v>0</v>
      </c>
      <c r="O231" s="7">
        <f>-ROUND(SUMIF('3.0'!$D:$D,T_BS!D231,'3.0'!$H:$H),0)</f>
        <v>0</v>
      </c>
      <c r="P231" s="211">
        <f>-ROUND(SUMIF('4.0'!$D:$D,T_BS!D231,'4.0'!$N:$N),0)</f>
        <v>0</v>
      </c>
      <c r="Q231" s="7">
        <f>-ROUND(SUMIF('5.0'!$D:$D,T_BS!D231,'5.0'!$N:$N),0)</f>
        <v>0</v>
      </c>
      <c r="R231" s="211">
        <f>-ROUND(SUMIF('6.0'!$D:$D,T_BS!D231,'6.0'!$N:$N),0)</f>
        <v>0</v>
      </c>
      <c r="S231" s="211">
        <f>-ROUND(SUMIF('7.0'!$D:$D,T_BS!D231,'7.0'!$I:$I),0)</f>
        <v>0</v>
      </c>
      <c r="T231" s="211">
        <f>-ROUND(SUMIF('8.0'!$D:$D,T_BS!D231,'8.0'!$H:$H),0)</f>
        <v>0</v>
      </c>
      <c r="U231" s="15">
        <f t="shared" si="59"/>
        <v>0</v>
      </c>
      <c r="W231" s="39">
        <f t="shared" si="62"/>
        <v>1298943576</v>
      </c>
      <c r="Y231" s="5"/>
      <c r="AB231" s="39">
        <v>1298943576</v>
      </c>
      <c r="AC231" s="710">
        <f t="shared" si="50"/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7" ht="18" customHeight="1">
      <c r="A232" s="5"/>
      <c r="D232" s="14">
        <v>350210</v>
      </c>
      <c r="E232" s="6" t="s">
        <v>194</v>
      </c>
      <c r="F232" s="40">
        <v>5304</v>
      </c>
      <c r="G232" s="6" t="s">
        <v>198</v>
      </c>
      <c r="H232" s="5">
        <v>-7720271960</v>
      </c>
      <c r="I232" s="211">
        <v>0</v>
      </c>
      <c r="J232" s="211">
        <v>-778091133</v>
      </c>
      <c r="K232" s="15">
        <f t="shared" si="61"/>
        <v>-8498363093</v>
      </c>
      <c r="M232" s="676">
        <f>-SUMIF('1.0'!$D:$D,T_BS!D232,'1.0'!$N:$N)</f>
        <v>0</v>
      </c>
      <c r="N232" s="211">
        <f>-SUMIF('2.0'!$D:$D,T_BS!D232,'2.0'!$N:$N)</f>
        <v>0</v>
      </c>
      <c r="O232" s="7">
        <f>-ROUND(SUMIF('3.0'!$D:$D,T_BS!D232,'3.0'!$H:$H),0)</f>
        <v>0</v>
      </c>
      <c r="P232" s="211">
        <f>-ROUND(SUMIF('4.0'!$D:$D,T_BS!D232,'4.0'!$N:$N),0)</f>
        <v>0</v>
      </c>
      <c r="Q232" s="7">
        <f>-ROUND(SUMIF('5.0'!$D:$D,T_BS!D232,'5.0'!$N:$N),0)</f>
        <v>0</v>
      </c>
      <c r="R232" s="211">
        <f>-ROUND(SUMIF('6.0'!$D:$D,T_BS!D232,'6.0'!$N:$N),0)</f>
        <v>0</v>
      </c>
      <c r="S232" s="211">
        <f>-ROUND(SUMIF('7.0'!$D:$D,T_BS!D232,'7.0'!$I:$I),0)</f>
        <v>0</v>
      </c>
      <c r="T232" s="211">
        <f>-ROUND(SUMIF('8.0'!$D:$D,T_BS!D232,'8.0'!$H:$H),0)</f>
        <v>5766494005</v>
      </c>
      <c r="U232" s="15">
        <f t="shared" si="59"/>
        <v>5766494005</v>
      </c>
      <c r="W232" s="39">
        <f t="shared" si="62"/>
        <v>-2731869088</v>
      </c>
      <c r="Y232" s="5"/>
      <c r="AB232" s="39">
        <v>-2731869088</v>
      </c>
      <c r="AC232" s="710">
        <f t="shared" si="50"/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7" ht="18" customHeight="1">
      <c r="A233" s="5"/>
      <c r="D233" s="14" t="s">
        <v>1352</v>
      </c>
      <c r="E233" s="6" t="s">
        <v>194</v>
      </c>
      <c r="F233" s="40" t="s">
        <v>612</v>
      </c>
      <c r="G233" s="6" t="s">
        <v>200</v>
      </c>
      <c r="H233" s="5">
        <v>0</v>
      </c>
      <c r="I233" s="211">
        <v>0</v>
      </c>
      <c r="J233" s="211">
        <v>0</v>
      </c>
      <c r="K233" s="15">
        <f t="shared" si="61"/>
        <v>0</v>
      </c>
      <c r="M233" s="676">
        <f>-SUMIF('1.0'!$D:$D,T_BS!D233,'1.0'!$N:$N)</f>
        <v>0</v>
      </c>
      <c r="N233" s="211">
        <f>-SUMIF('2.0'!$D:$D,T_BS!D233,'2.0'!$N:$N)</f>
        <v>0</v>
      </c>
      <c r="O233" s="7">
        <f>-ROUND(SUMIF('3.0'!$D:$D,T_BS!D233,'3.0'!$H:$H),0)</f>
        <v>0</v>
      </c>
      <c r="P233" s="211">
        <f>-ROUND(SUMIF('4.0'!$D:$D,T_BS!D233,'4.0'!$N:$N),0)</f>
        <v>0</v>
      </c>
      <c r="Q233" s="7">
        <f>-ROUND(SUMIF('5.0'!$D:$D,T_BS!D233,'5.0'!$N:$N),0)</f>
        <v>0</v>
      </c>
      <c r="R233" s="211">
        <f>-ROUND(SUMIF('6.0'!$D:$D,T_BS!D233,'6.0'!$N:$N),0)</f>
        <v>0</v>
      </c>
      <c r="S233" s="211">
        <f>-ROUND(SUMIF('7.0'!$D:$D,T_BS!D233,'7.0'!$I:$I),0)</f>
        <v>0</v>
      </c>
      <c r="T233" s="211">
        <f>-ROUND(SUMIF('8.0'!$D:$D,T_BS!D233,'8.0'!$H:$H),0)</f>
        <v>0</v>
      </c>
      <c r="U233" s="15">
        <f t="shared" si="59"/>
        <v>0</v>
      </c>
      <c r="W233" s="39">
        <f t="shared" si="62"/>
        <v>0</v>
      </c>
      <c r="Y233" s="5"/>
      <c r="AB233" s="39">
        <v>0</v>
      </c>
      <c r="AC233" s="710">
        <f t="shared" si="50"/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7" ht="18" customHeight="1">
      <c r="A234" s="5"/>
      <c r="D234" s="14" t="s">
        <v>1353</v>
      </c>
      <c r="E234" s="6" t="s">
        <v>194</v>
      </c>
      <c r="F234" s="40" t="s">
        <v>612</v>
      </c>
      <c r="G234" s="6" t="s">
        <v>202</v>
      </c>
      <c r="H234" s="5">
        <v>0</v>
      </c>
      <c r="I234" s="211">
        <v>0</v>
      </c>
      <c r="J234" s="211">
        <v>0</v>
      </c>
      <c r="K234" s="15">
        <f t="shared" si="61"/>
        <v>0</v>
      </c>
      <c r="M234" s="676">
        <f>-SUMIF('1.0'!$D:$D,T_BS!D234,'1.0'!$N:$N)</f>
        <v>0</v>
      </c>
      <c r="N234" s="211">
        <f>-SUMIF('2.0'!$D:$D,T_BS!D234,'2.0'!$N:$N)</f>
        <v>0</v>
      </c>
      <c r="O234" s="7">
        <f>-ROUND(SUMIF('3.0'!$D:$D,T_BS!D234,'3.0'!$H:$H),0)</f>
        <v>0</v>
      </c>
      <c r="P234" s="211">
        <f>-ROUND(SUMIF('4.0'!$D:$D,T_BS!D234,'4.0'!$N:$N),0)</f>
        <v>0</v>
      </c>
      <c r="Q234" s="7">
        <f>-ROUND(SUMIF('5.0'!$D:$D,T_BS!D234,'5.0'!$N:$N),0)</f>
        <v>0</v>
      </c>
      <c r="R234" s="211">
        <f>-ROUND(SUMIF('6.0'!$D:$D,T_BS!D234,'6.0'!$N:$N),0)</f>
        <v>0</v>
      </c>
      <c r="S234" s="211">
        <f>-ROUND(SUMIF('7.0'!$D:$D,T_BS!D234,'7.0'!$I:$I),0)</f>
        <v>0</v>
      </c>
      <c r="T234" s="211">
        <f>-ROUND(SUMIF('8.0'!$D:$D,T_BS!D234,'8.0'!$H:$H),0)</f>
        <v>0</v>
      </c>
      <c r="U234" s="15">
        <f t="shared" si="59"/>
        <v>0</v>
      </c>
      <c r="W234" s="39">
        <f t="shared" si="62"/>
        <v>0</v>
      </c>
      <c r="Y234" s="5"/>
      <c r="AB234" s="39">
        <v>0</v>
      </c>
      <c r="AC234" s="710">
        <f t="shared" si="50"/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</row>
    <row r="235" spans="1:37" ht="18" customHeight="1">
      <c r="A235" s="5"/>
      <c r="D235" s="14" t="s">
        <v>1354</v>
      </c>
      <c r="E235" s="6" t="s">
        <v>194</v>
      </c>
      <c r="F235" s="40">
        <v>5307</v>
      </c>
      <c r="G235" s="6" t="s">
        <v>1350</v>
      </c>
      <c r="H235" s="5">
        <v>0</v>
      </c>
      <c r="I235" s="211">
        <v>1010392673</v>
      </c>
      <c r="J235" s="211">
        <v>32753418</v>
      </c>
      <c r="K235" s="15">
        <f t="shared" si="61"/>
        <v>1043146091</v>
      </c>
      <c r="M235" s="676">
        <f>-SUMIF('1.0'!$D:$D,T_BS!D235,'1.0'!$N:$N)</f>
        <v>0</v>
      </c>
      <c r="N235" s="211">
        <f>-SUMIF('2.0'!$D:$D,T_BS!D235,'2.0'!$N:$N)</f>
        <v>0</v>
      </c>
      <c r="O235" s="7">
        <f>-ROUND(SUMIF('3.0'!$D:$D,T_BS!D235,'3.0'!$H:$H),0)</f>
        <v>0</v>
      </c>
      <c r="P235" s="211">
        <f>-ROUND(SUMIF('4.0'!$D:$D,T_BS!D235,'4.0'!$N:$N),0)</f>
        <v>0</v>
      </c>
      <c r="Q235" s="7">
        <f>-ROUND(SUMIF('5.0'!$D:$D,T_BS!D235,'5.0'!$N:$N),0)</f>
        <v>1105074633</v>
      </c>
      <c r="R235" s="211">
        <f>-ROUND(SUMIF('6.0'!$D:$D,T_BS!D235,'6.0'!$N:$N),0)</f>
        <v>0</v>
      </c>
      <c r="S235" s="211">
        <f>-ROUND(SUMIF('7.0'!$D:$D,T_BS!D235,'7.0'!$I:$I),0)</f>
        <v>0</v>
      </c>
      <c r="T235" s="211">
        <f>-ROUND(SUMIF('8.0'!$D:$D,T_BS!D235,'8.0'!$H:$H),0)</f>
        <v>270300553</v>
      </c>
      <c r="U235" s="15">
        <f t="shared" si="59"/>
        <v>1375375186</v>
      </c>
      <c r="W235" s="39">
        <f t="shared" si="62"/>
        <v>2418521277</v>
      </c>
      <c r="Y235" s="5"/>
      <c r="AB235" s="39">
        <v>2420465175</v>
      </c>
      <c r="AC235" s="710">
        <f t="shared" si="50"/>
        <v>-1943898</v>
      </c>
      <c r="AE235" s="5">
        <v>0</v>
      </c>
      <c r="AF235" s="5">
        <v>0</v>
      </c>
      <c r="AG235" s="5">
        <v>-1943898</v>
      </c>
      <c r="AH235" s="5">
        <v>0</v>
      </c>
      <c r="AI235" s="5">
        <v>-1943898</v>
      </c>
    </row>
    <row r="236" spans="1:37" ht="18" customHeight="1">
      <c r="A236" s="5"/>
      <c r="D236" s="14" t="s">
        <v>1355</v>
      </c>
      <c r="E236" s="6" t="s">
        <v>194</v>
      </c>
      <c r="F236" s="40"/>
      <c r="G236" s="6" t="s">
        <v>1351</v>
      </c>
      <c r="H236" s="5">
        <v>0</v>
      </c>
      <c r="I236" s="211">
        <v>0</v>
      </c>
      <c r="J236" s="211">
        <v>0</v>
      </c>
      <c r="K236" s="15">
        <f t="shared" si="61"/>
        <v>0</v>
      </c>
      <c r="M236" s="676">
        <f>-SUMIF('1.0'!$D:$D,T_BS!D236,'1.0'!$N:$N)</f>
        <v>0</v>
      </c>
      <c r="N236" s="211">
        <f>-SUMIF('2.0'!$D:$D,T_BS!D236,'2.0'!$N:$N)</f>
        <v>0</v>
      </c>
      <c r="O236" s="7">
        <f>-ROUND(SUMIF('3.0'!$D:$D,T_BS!D236,'3.0'!$H:$H),0)</f>
        <v>0</v>
      </c>
      <c r="P236" s="211">
        <f>-ROUND(SUMIF('4.0'!$D:$D,T_BS!D236,'4.0'!$N:$N),0)</f>
        <v>0</v>
      </c>
      <c r="Q236" s="7">
        <f>-ROUND(SUMIF('5.0'!$D:$D,T_BS!D236,'5.0'!$N:$N),0)</f>
        <v>0</v>
      </c>
      <c r="R236" s="211">
        <f>-ROUND(SUMIF('6.0'!$D:$D,T_BS!D236,'6.0'!$N:$N),0)</f>
        <v>0</v>
      </c>
      <c r="S236" s="211">
        <f>-ROUND(SUMIF('7.0'!$D:$D,T_BS!D236,'7.0'!$I:$I),0)</f>
        <v>0</v>
      </c>
      <c r="T236" s="211">
        <f>-ROUND(SUMIF('8.0'!$D:$D,T_BS!D236,'8.0'!$H:$H),0)</f>
        <v>0</v>
      </c>
      <c r="U236" s="15">
        <f t="shared" si="59"/>
        <v>0</v>
      </c>
      <c r="W236" s="39">
        <f t="shared" si="62"/>
        <v>0</v>
      </c>
      <c r="Y236" s="5"/>
      <c r="AB236" s="39">
        <v>0</v>
      </c>
      <c r="AC236" s="710">
        <f t="shared" si="50"/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7" ht="18" customHeight="1">
      <c r="A237" s="5"/>
      <c r="D237" s="13"/>
      <c r="E237" s="34"/>
      <c r="F237" s="35"/>
      <c r="G237" s="34" t="s">
        <v>13</v>
      </c>
      <c r="H237" s="484">
        <f>SUM(H238:H240)</f>
        <v>-102792627244</v>
      </c>
      <c r="I237" s="417">
        <f>SUM(I238:I240)</f>
        <v>-38269317159</v>
      </c>
      <c r="J237" s="417">
        <f>SUM(J238:J240)</f>
        <v>3625530956</v>
      </c>
      <c r="K237" s="645">
        <f>SUM(K238:K240)</f>
        <v>-137436413447</v>
      </c>
      <c r="M237" s="675">
        <f t="shared" ref="M237:R237" si="63">SUM(M238:M240)</f>
        <v>138627321</v>
      </c>
      <c r="N237" s="417">
        <f t="shared" si="63"/>
        <v>0</v>
      </c>
      <c r="O237" s="417">
        <f t="shared" si="63"/>
        <v>0</v>
      </c>
      <c r="P237" s="417">
        <f t="shared" si="63"/>
        <v>-32204791</v>
      </c>
      <c r="Q237" s="417">
        <f t="shared" si="63"/>
        <v>893619536</v>
      </c>
      <c r="R237" s="417">
        <f t="shared" si="63"/>
        <v>0</v>
      </c>
      <c r="S237" s="417">
        <f>SUM(S238:S240)</f>
        <v>0</v>
      </c>
      <c r="T237" s="417">
        <f>SUM(T238:T240)</f>
        <v>25558952947</v>
      </c>
      <c r="U237" s="645">
        <f>SUM(U238:U240)</f>
        <v>26558995013</v>
      </c>
      <c r="W237" s="36">
        <f>SUM(W238:W240)</f>
        <v>-110877418434</v>
      </c>
      <c r="Y237" s="5"/>
      <c r="AB237" s="36">
        <v>-110197906961</v>
      </c>
      <c r="AC237" s="710">
        <f t="shared" si="50"/>
        <v>-679511473</v>
      </c>
      <c r="AE237" s="5">
        <v>-303274493</v>
      </c>
      <c r="AF237" s="5">
        <v>0</v>
      </c>
      <c r="AG237" s="5">
        <v>42278020</v>
      </c>
      <c r="AH237" s="5">
        <v>113485000</v>
      </c>
      <c r="AI237" s="5">
        <v>-147511473</v>
      </c>
    </row>
    <row r="238" spans="1:37" ht="18" customHeight="1">
      <c r="A238" s="5"/>
      <c r="D238" s="14">
        <v>350951</v>
      </c>
      <c r="E238" s="6" t="s">
        <v>13</v>
      </c>
      <c r="F238" s="40">
        <v>5401</v>
      </c>
      <c r="G238" s="6" t="s">
        <v>205</v>
      </c>
      <c r="H238" s="5">
        <v>-901535168</v>
      </c>
      <c r="I238" s="211">
        <v>0</v>
      </c>
      <c r="J238" s="211">
        <v>0</v>
      </c>
      <c r="K238" s="15">
        <f>SUM(H238:J238)</f>
        <v>-901535168</v>
      </c>
      <c r="M238" s="676">
        <f>-SUMIF('1.0'!$D:$D,T_BS!D238,'1.0'!$N:$N)</f>
        <v>622390102</v>
      </c>
      <c r="N238" s="211">
        <f>-SUMIF('2.0'!$D:$D,T_BS!D238,'2.0'!$N:$N)</f>
        <v>0</v>
      </c>
      <c r="O238" s="7">
        <f>-ROUND(SUMIF('3.0'!$D:$D,T_BS!D238,'3.0'!$H:$H),0)</f>
        <v>0</v>
      </c>
      <c r="P238" s="211">
        <f>-ROUND(SUMIF('4.0'!$D:$D,T_BS!D238,'4.0'!$N:$N),0)</f>
        <v>0</v>
      </c>
      <c r="Q238" s="7">
        <f>-ROUND(SUMIF('5.0'!$D:$D,T_BS!D238,'5.0'!$N:$N),0)</f>
        <v>0</v>
      </c>
      <c r="R238" s="211">
        <f>-ROUND(SUMIF('6.0'!$D:$D,T_BS!D238,'6.0'!$N:$N),0)</f>
        <v>0</v>
      </c>
      <c r="S238" s="211">
        <f>-ROUND(SUMIF('7.0'!$D:$D,T_BS!D238,'7.0'!$I:$I),0)</f>
        <v>0</v>
      </c>
      <c r="T238" s="211">
        <f>-ROUND(SUMIF('8.0'!$D:$D,T_BS!D238,'8.0'!$H:$H),0)</f>
        <v>0</v>
      </c>
      <c r="U238" s="15">
        <f>SUM(M238:T238)</f>
        <v>622390102</v>
      </c>
      <c r="W238" s="39">
        <f>U238+K238</f>
        <v>-279145066</v>
      </c>
      <c r="Y238" s="5"/>
      <c r="AB238" s="39">
        <v>-279145066</v>
      </c>
      <c r="AC238" s="710">
        <f t="shared" si="50"/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7" ht="18" customHeight="1">
      <c r="A239" s="5"/>
      <c r="D239" s="43" t="s">
        <v>1356</v>
      </c>
      <c r="E239" s="6" t="s">
        <v>13</v>
      </c>
      <c r="F239" s="40">
        <v>5402</v>
      </c>
      <c r="G239" s="6" t="s">
        <v>207</v>
      </c>
      <c r="H239" s="5">
        <v>-83342669546</v>
      </c>
      <c r="I239" s="211">
        <v>-36277765348</v>
      </c>
      <c r="J239" s="211">
        <v>4563084657</v>
      </c>
      <c r="K239" s="15">
        <f>SUM(H239:J239)</f>
        <v>-115057350237</v>
      </c>
      <c r="M239" s="676">
        <f>-SUMIF('1.0'!$D:$D,T_BS!D239,'1.0'!$N:$N)</f>
        <v>-2526046398</v>
      </c>
      <c r="N239" s="211">
        <f>-SUMIF('2.0'!$D:$D,T_BS!D239,'2.0'!$N:$N)</f>
        <v>0</v>
      </c>
      <c r="O239" s="7">
        <f>-ROUND(SUMIF('3.0'!$D:$D,T_BS!D239,'3.0'!$H:$H),0)</f>
        <v>0</v>
      </c>
      <c r="P239" s="211">
        <f>-ROUND(SUMIF('4.0'!$D:$D,T_BS!D239,'4.0'!$N:$N),0)</f>
        <v>-3658730</v>
      </c>
      <c r="Q239" s="7">
        <f>-ROUND(SUMIF('5.0'!$D:$D,T_BS!D239,'5.0'!$N:$N),0)</f>
        <v>4497701651</v>
      </c>
      <c r="R239" s="211">
        <f>-ROUND(SUMIF('6.0'!$D:$D,T_BS!D239,'6.0'!$N:$N),0)</f>
        <v>0</v>
      </c>
      <c r="S239" s="211">
        <f>-ROUND(SUMIF('7.0'!$D:$D,T_BS!D239,'7.0'!$I:$I),0)</f>
        <v>0</v>
      </c>
      <c r="T239" s="211">
        <f>-ROUND(SUMIF('8.0'!$D:$D,T_BS!D239,'8.0'!$H:$H),0)</f>
        <v>25558952947</v>
      </c>
      <c r="U239" s="15">
        <f t="shared" si="59"/>
        <v>27526949470</v>
      </c>
      <c r="W239" s="39">
        <f>U239+K239</f>
        <v>-87530400767</v>
      </c>
      <c r="Y239" s="5"/>
      <c r="AB239" s="39">
        <v>-87530400767</v>
      </c>
      <c r="AC239" s="710">
        <f t="shared" si="50"/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7" ht="18" customHeight="1">
      <c r="A240" s="5"/>
      <c r="D240" s="43" t="s">
        <v>1357</v>
      </c>
      <c r="E240" s="6" t="s">
        <v>13</v>
      </c>
      <c r="F240" s="40" t="s">
        <v>612</v>
      </c>
      <c r="G240" s="6" t="s">
        <v>209</v>
      </c>
      <c r="H240" s="5">
        <f>T_IS!H123</f>
        <v>-18548422530</v>
      </c>
      <c r="I240" s="5">
        <f>T_IS!I123</f>
        <v>-1991551811</v>
      </c>
      <c r="J240" s="5">
        <f>T_IS!J123</f>
        <v>-937553701</v>
      </c>
      <c r="K240" s="15">
        <f>SUM(H240:J240)</f>
        <v>-21477528042</v>
      </c>
      <c r="M240" s="676">
        <f>+T_IS!M123</f>
        <v>2042283617</v>
      </c>
      <c r="N240" s="211">
        <f>+T_IS!N123</f>
        <v>0</v>
      </c>
      <c r="O240" s="7">
        <f>+T_IS!O123</f>
        <v>0</v>
      </c>
      <c r="P240" s="211">
        <f>+T_IS!P123</f>
        <v>-28546061</v>
      </c>
      <c r="Q240" s="7">
        <f>+T_IS!Q123</f>
        <v>-3604082115</v>
      </c>
      <c r="R240" s="211">
        <f>+T_IS!R123</f>
        <v>0</v>
      </c>
      <c r="S240" s="211">
        <f>+T_IS!S123</f>
        <v>0</v>
      </c>
      <c r="T240" s="211">
        <f>+T_IS!T123</f>
        <v>0</v>
      </c>
      <c r="U240" s="15">
        <f>SUM(M240:T240)</f>
        <v>-1590344559</v>
      </c>
      <c r="W240" s="39">
        <f>U240+K240</f>
        <v>-23067872601</v>
      </c>
      <c r="Y240" s="5"/>
      <c r="AB240" s="39">
        <v>-22388361128</v>
      </c>
      <c r="AC240" s="710">
        <f t="shared" si="50"/>
        <v>-679511473</v>
      </c>
      <c r="AE240" s="5">
        <v>-303274493</v>
      </c>
      <c r="AF240" s="5">
        <v>0</v>
      </c>
      <c r="AG240" s="5">
        <v>42278020</v>
      </c>
      <c r="AH240" s="5">
        <v>113485000</v>
      </c>
      <c r="AI240" s="5">
        <v>-147511473</v>
      </c>
      <c r="AK240" s="5">
        <f>W239+W240</f>
        <v>-110598273368</v>
      </c>
    </row>
    <row r="241" spans="1:35" ht="18" customHeight="1">
      <c r="A241" s="5"/>
      <c r="D241" s="12"/>
      <c r="E241" s="31"/>
      <c r="F241" s="32"/>
      <c r="G241" s="31" t="s">
        <v>210</v>
      </c>
      <c r="H241" s="479">
        <f>H242</f>
        <v>0</v>
      </c>
      <c r="I241" s="446">
        <f t="shared" ref="I241:W241" si="64">I242</f>
        <v>0</v>
      </c>
      <c r="J241" s="446">
        <f t="shared" si="64"/>
        <v>0</v>
      </c>
      <c r="K241" s="461">
        <f t="shared" si="64"/>
        <v>0</v>
      </c>
      <c r="M241" s="445">
        <f t="shared" si="64"/>
        <v>0</v>
      </c>
      <c r="N241" s="446">
        <f t="shared" si="64"/>
        <v>0</v>
      </c>
      <c r="O241" s="446">
        <f t="shared" si="64"/>
        <v>0</v>
      </c>
      <c r="P241" s="446">
        <f t="shared" si="64"/>
        <v>0</v>
      </c>
      <c r="Q241" s="446">
        <f t="shared" si="64"/>
        <v>0</v>
      </c>
      <c r="R241" s="446">
        <f t="shared" si="64"/>
        <v>0</v>
      </c>
      <c r="S241" s="446">
        <f t="shared" si="64"/>
        <v>0</v>
      </c>
      <c r="T241" s="446">
        <f t="shared" si="64"/>
        <v>0</v>
      </c>
      <c r="U241" s="461">
        <f t="shared" si="64"/>
        <v>0</v>
      </c>
      <c r="W241" s="33">
        <f t="shared" si="64"/>
        <v>0</v>
      </c>
      <c r="Y241" s="5"/>
      <c r="AB241" s="33">
        <v>0</v>
      </c>
      <c r="AC241" s="710">
        <f t="shared" si="50"/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 ht="18" customHeight="1">
      <c r="A242" s="5"/>
      <c r="D242" s="43" t="s">
        <v>493</v>
      </c>
      <c r="E242" s="47"/>
      <c r="F242" s="40"/>
      <c r="G242" s="47" t="s">
        <v>210</v>
      </c>
      <c r="H242" s="5">
        <v>0</v>
      </c>
      <c r="I242" s="211">
        <v>0</v>
      </c>
      <c r="J242" s="211">
        <v>0</v>
      </c>
      <c r="K242" s="15">
        <f>SUM(H242:J242)</f>
        <v>0</v>
      </c>
      <c r="M242" s="676">
        <f>-SUMIF('1.0'!$D:$D,T_BS!D242,'1.0'!$N:$N)</f>
        <v>0</v>
      </c>
      <c r="N242" s="211">
        <f>-SUMIF('2.0'!$D:$D,T_BS!D242,'2.0'!$N:$N)</f>
        <v>0</v>
      </c>
      <c r="O242" s="7">
        <f>-ROUND(SUMIF('3.0'!$D:$D,T_BS!D242,'3.0'!$H:$H),0)</f>
        <v>0</v>
      </c>
      <c r="P242" s="210">
        <f>-ROUND(SUMIF('4.0'!$D:$D,T_BS!D242,'4.0'!$N:$N),0)</f>
        <v>0</v>
      </c>
      <c r="Q242" s="7">
        <f>-ROUND(SUMIF('5.0'!$D:$D,T_BS!D242,'5.0'!$N:$N),0)</f>
        <v>0</v>
      </c>
      <c r="R242" s="187">
        <v>0</v>
      </c>
      <c r="S242" s="210">
        <f>-ROUND(SUMIF('7.0'!$D:$D,T_BS!D242,'7.0'!$I:$I),0)</f>
        <v>0</v>
      </c>
      <c r="T242" s="210">
        <f>-ROUND(SUMIF('8.0'!$D:$D,T_BS!D242,'8.0'!$H:$H),0)</f>
        <v>0</v>
      </c>
      <c r="U242" s="15">
        <f t="shared" si="59"/>
        <v>0</v>
      </c>
      <c r="W242" s="39">
        <f>U242+K242</f>
        <v>0</v>
      </c>
      <c r="Y242" s="5"/>
      <c r="AB242" s="39">
        <v>0</v>
      </c>
      <c r="AC242" s="710">
        <f t="shared" si="50"/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</row>
    <row r="243" spans="1:35" ht="18" customHeight="1" thickBot="1">
      <c r="A243" s="5"/>
      <c r="D243" s="48"/>
      <c r="E243" s="49"/>
      <c r="F243" s="50"/>
      <c r="G243" s="49" t="s">
        <v>212</v>
      </c>
      <c r="H243" s="681">
        <f>SUM(H220,H143)</f>
        <v>171930649249</v>
      </c>
      <c r="I243" s="681">
        <f>SUM(I220,I143)</f>
        <v>449416324</v>
      </c>
      <c r="J243" s="681">
        <f>SUM(J220,J143)</f>
        <v>5096776977</v>
      </c>
      <c r="K243" s="682">
        <f>SUM(K220,K143)</f>
        <v>177476842550</v>
      </c>
      <c r="M243" s="683">
        <f t="shared" ref="M243:R243" si="65">SUM(M220,M143)</f>
        <v>19842800</v>
      </c>
      <c r="N243" s="681">
        <f t="shared" si="65"/>
        <v>0</v>
      </c>
      <c r="O243" s="681">
        <f t="shared" si="65"/>
        <v>-1090735376</v>
      </c>
      <c r="P243" s="681">
        <f t="shared" si="65"/>
        <v>-32204791</v>
      </c>
      <c r="Q243" s="681">
        <f t="shared" si="65"/>
        <v>1998694169</v>
      </c>
      <c r="R243" s="681">
        <f t="shared" si="65"/>
        <v>0</v>
      </c>
      <c r="S243" s="681">
        <f>SUM(S220,S143)</f>
        <v>0</v>
      </c>
      <c r="T243" s="681">
        <f>SUM(T220,T143)</f>
        <v>-5928999995</v>
      </c>
      <c r="U243" s="682">
        <f>SUM(U220,U143)</f>
        <v>-5033403193</v>
      </c>
      <c r="W243" s="51">
        <f>SUM(W220,W143)</f>
        <v>172443439357</v>
      </c>
      <c r="Y243" s="5"/>
      <c r="AB243" s="51">
        <v>172224602084</v>
      </c>
      <c r="AC243" s="710">
        <f t="shared" si="50"/>
        <v>218837273</v>
      </c>
      <c r="AE243" s="5">
        <v>-446124663</v>
      </c>
      <c r="AF243" s="5">
        <v>0</v>
      </c>
      <c r="AG243" s="5">
        <v>402026552</v>
      </c>
      <c r="AH243" s="5">
        <v>262935384</v>
      </c>
      <c r="AI243" s="5">
        <v>218837273</v>
      </c>
    </row>
    <row r="244" spans="1:35" s="25" customFormat="1" ht="18" customHeight="1">
      <c r="B244" s="276"/>
      <c r="C244" s="276"/>
      <c r="D244" s="665"/>
      <c r="F244" s="665"/>
      <c r="H244" s="26" t="b">
        <f>H240-T_IS!H124=0</f>
        <v>1</v>
      </c>
      <c r="I244" s="26" t="b">
        <f>I240=T_IS!I124</f>
        <v>1</v>
      </c>
      <c r="J244" s="26" t="b">
        <f>J240=T_IS!J124</f>
        <v>1</v>
      </c>
      <c r="K244" s="26"/>
      <c r="L244" s="666"/>
      <c r="M244" s="26" t="b">
        <f>M240=T_IS!M124</f>
        <v>1</v>
      </c>
      <c r="N244" s="26" t="b">
        <f>N240=T_IS!N124</f>
        <v>1</v>
      </c>
      <c r="O244" s="26" t="b">
        <f>O240=T_IS!O124</f>
        <v>1</v>
      </c>
      <c r="P244" s="26" t="b">
        <f>P240=T_IS!P124</f>
        <v>1</v>
      </c>
      <c r="Q244" s="26" t="b">
        <f>Q240=T_IS!Q124</f>
        <v>1</v>
      </c>
      <c r="R244" s="26" t="b">
        <f>R240=T_IS!R124</f>
        <v>1</v>
      </c>
      <c r="S244" s="26" t="b">
        <f>S240=T_IS!S124</f>
        <v>1</v>
      </c>
      <c r="T244" s="26" t="b">
        <f>T240=T_IS!T124</f>
        <v>1</v>
      </c>
      <c r="U244" s="26" t="b">
        <f>U240=T_IS!U124</f>
        <v>1</v>
      </c>
      <c r="W244" s="26" t="b">
        <f>T_IS!W124=W240</f>
        <v>1</v>
      </c>
      <c r="Y244" s="5"/>
      <c r="AB244" s="26"/>
    </row>
    <row r="245" spans="1:35" ht="18" customHeight="1">
      <c r="M245" s="5">
        <f>M240-T_IS!M124</f>
        <v>0</v>
      </c>
      <c r="N245" s="5">
        <f>N240-T_IS!N124</f>
        <v>0</v>
      </c>
      <c r="O245" s="5">
        <f>O240-T_IS!O124</f>
        <v>0</v>
      </c>
      <c r="P245" s="5">
        <f>P240-T_IS!P124</f>
        <v>0</v>
      </c>
      <c r="Q245" s="5">
        <f>Q240-T_IS!Q124</f>
        <v>0</v>
      </c>
      <c r="R245" s="5">
        <f>R240-T_IS!R124</f>
        <v>0</v>
      </c>
      <c r="S245" s="5">
        <f>S240-T_IS!S124</f>
        <v>0</v>
      </c>
    </row>
    <row r="246" spans="1:35" ht="18" customHeight="1">
      <c r="E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35" ht="18" customHeight="1">
      <c r="D247" s="24" t="s">
        <v>2070</v>
      </c>
      <c r="E247" s="24" t="s">
        <v>2071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35" ht="18" customHeight="1">
      <c r="D248" s="729" t="s">
        <v>18</v>
      </c>
      <c r="E248" s="729" t="s">
        <v>19</v>
      </c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35" ht="18" customHeight="1">
      <c r="D249" s="730">
        <v>3404</v>
      </c>
      <c r="E249" s="730" t="s">
        <v>180</v>
      </c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35" ht="18" customHeight="1">
      <c r="D250" s="730">
        <v>3403</v>
      </c>
      <c r="E250" s="730" t="s">
        <v>662</v>
      </c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35" ht="18" customHeight="1">
      <c r="D251" s="730">
        <v>3406</v>
      </c>
      <c r="E251" s="730" t="s">
        <v>181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35" ht="18" customHeight="1">
      <c r="D252" s="730">
        <v>3408</v>
      </c>
      <c r="E252" s="730" t="s">
        <v>2061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35" ht="18" customHeight="1">
      <c r="E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35" ht="18" customHeight="1">
      <c r="E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35" ht="18" customHeight="1">
      <c r="E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35" ht="18" customHeight="1">
      <c r="E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5:24" ht="18" customHeight="1">
      <c r="E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5:24" ht="18" customHeight="1">
      <c r="E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5:24" ht="18" customHeight="1">
      <c r="E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5:24" ht="18" customHeight="1">
      <c r="E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5:24" ht="18" customHeight="1">
      <c r="E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5:24" ht="18" customHeight="1">
      <c r="E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5:24" ht="18" customHeight="1">
      <c r="E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5:24" ht="18" customHeight="1">
      <c r="E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5:24" ht="18" customHeight="1">
      <c r="E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5:24" ht="18" customHeight="1">
      <c r="E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5:24" ht="18" customHeight="1">
      <c r="E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5:24" ht="18" customHeight="1">
      <c r="E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5:24" ht="18" customHeight="1">
      <c r="E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5:24" ht="18" customHeight="1">
      <c r="E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5:24" ht="18" customHeight="1">
      <c r="E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5:24" ht="18" customHeight="1">
      <c r="E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5:24" ht="18" customHeight="1">
      <c r="E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5:24" ht="18" customHeight="1">
      <c r="E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5:24" ht="18" customHeight="1">
      <c r="E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5:24" ht="18" customHeight="1">
      <c r="E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5:24" ht="18" customHeight="1">
      <c r="E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5:24" ht="18" customHeight="1">
      <c r="E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5:24" ht="18" customHeight="1">
      <c r="E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5:24" ht="18" customHeight="1">
      <c r="E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5:24" ht="18" customHeight="1">
      <c r="E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5:24" ht="18" customHeight="1">
      <c r="E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5:24" ht="18" customHeight="1">
      <c r="E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5:24" ht="18" customHeight="1">
      <c r="E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5:24" ht="18" customHeight="1">
      <c r="E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5:24" ht="18" customHeight="1">
      <c r="E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5:24" ht="18" customHeight="1">
      <c r="E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5:24" ht="18" customHeight="1">
      <c r="E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5:24" ht="18" customHeight="1">
      <c r="E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5:24" ht="18" customHeight="1">
      <c r="E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5:24" ht="18" customHeight="1">
      <c r="E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5:24" ht="18" customHeight="1">
      <c r="E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5:24" ht="18" customHeight="1">
      <c r="E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5:24" ht="18" customHeight="1">
      <c r="E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5:24" ht="18" customHeight="1">
      <c r="E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5:24" ht="18" customHeight="1">
      <c r="E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5:24" ht="18" customHeight="1">
      <c r="E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</sheetData>
  <autoFilter ref="D6:U244" xr:uid="{00000000-0009-0000-0000-000003000000}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9" tint="0.79998168889431442"/>
  </sheetPr>
  <dimension ref="A1:AG132"/>
  <sheetViews>
    <sheetView showGridLines="0" zoomScaleNormal="100" workbookViewId="0">
      <pane xSplit="7" ySplit="5" topLeftCell="H108" activePane="bottomRight" state="frozen"/>
      <selection activeCell="AA236" sqref="AA236"/>
      <selection pane="topRight" activeCell="AA236" sqref="AA236"/>
      <selection pane="bottomLeft" activeCell="AA236" sqref="AA236"/>
      <selection pane="bottomRight" activeCell="W120" sqref="W120"/>
    </sheetView>
  </sheetViews>
  <sheetFormatPr defaultColWidth="8.75" defaultRowHeight="18" customHeight="1" outlineLevelCol="1"/>
  <cols>
    <col min="1" max="1" width="13.875" style="6" bestFit="1" customWidth="1"/>
    <col min="2" max="3" width="2.375" style="6" customWidth="1"/>
    <col min="4" max="5" width="15.625" style="6" customWidth="1"/>
    <col min="6" max="6" width="15.625" style="40" customWidth="1"/>
    <col min="7" max="7" width="32.625" style="6" bestFit="1" customWidth="1"/>
    <col min="8" max="10" width="20.375" style="6" customWidth="1" outlineLevel="1"/>
    <col min="11" max="11" width="20.375" style="6" customWidth="1"/>
    <col min="12" max="12" width="2.75" style="6" customWidth="1"/>
    <col min="13" max="20" width="20.375" style="6" customWidth="1" outlineLevel="1"/>
    <col min="21" max="21" width="20.375" style="6" customWidth="1"/>
    <col min="22" max="22" width="2.375" style="6" customWidth="1"/>
    <col min="23" max="23" width="20.375" style="6" customWidth="1"/>
    <col min="24" max="24" width="2.375" style="6" customWidth="1"/>
    <col min="25" max="25" width="13.875" style="6" hidden="1" customWidth="1"/>
    <col min="26" max="26" width="16.5" style="6" hidden="1" customWidth="1"/>
    <col min="27" max="27" width="13.125" style="6" hidden="1" customWidth="1"/>
    <col min="28" max="28" width="8.875" style="6" hidden="1" customWidth="1"/>
    <col min="29" max="29" width="11.375" style="6" hidden="1" customWidth="1"/>
    <col min="30" max="30" width="17.125" style="6" hidden="1" customWidth="1"/>
    <col min="31" max="31" width="18" style="6" hidden="1" customWidth="1"/>
    <col min="32" max="32" width="11.375" style="6" hidden="1" customWidth="1"/>
    <col min="33" max="33" width="11.125" style="6" hidden="1" customWidth="1"/>
    <col min="34" max="34" width="0" style="6" hidden="1" customWidth="1"/>
    <col min="35" max="16384" width="8.75" style="6"/>
  </cols>
  <sheetData>
    <row r="1" spans="1:33" ht="18" customHeight="1">
      <c r="H1" s="7"/>
      <c r="W1" s="7">
        <f>+W82+W83-W95-W96</f>
        <v>-949963663</v>
      </c>
    </row>
    <row r="2" spans="1:33" ht="18" customHeight="1">
      <c r="H2" s="7"/>
      <c r="J2" s="7"/>
    </row>
    <row r="3" spans="1:33" s="40" customFormat="1" ht="18" customHeight="1">
      <c r="H3" s="220" t="s">
        <v>2278</v>
      </c>
      <c r="I3" s="220" t="s">
        <v>2279</v>
      </c>
      <c r="J3" s="220" t="s">
        <v>2280</v>
      </c>
      <c r="U3" s="413"/>
    </row>
    <row r="4" spans="1:33" s="46" customFormat="1" ht="18" customHeight="1" thickBot="1">
      <c r="H4" s="220" t="s">
        <v>1597</v>
      </c>
      <c r="I4" s="220" t="s">
        <v>1597</v>
      </c>
      <c r="J4" s="220" t="s">
        <v>1597</v>
      </c>
      <c r="Q4" s="649">
        <f>-Q122/Q53</f>
        <v>2.6734012351235665</v>
      </c>
    </row>
    <row r="5" spans="1:33" s="569" customFormat="1" ht="26.1" customHeight="1">
      <c r="D5" s="9" t="s">
        <v>16</v>
      </c>
      <c r="E5" s="10" t="s">
        <v>17</v>
      </c>
      <c r="F5" s="10" t="s">
        <v>18</v>
      </c>
      <c r="G5" s="10" t="s">
        <v>19</v>
      </c>
      <c r="H5" s="442" t="s">
        <v>15</v>
      </c>
      <c r="I5" s="442" t="s">
        <v>217</v>
      </c>
      <c r="J5" s="442" t="s">
        <v>215</v>
      </c>
      <c r="K5" s="443" t="s">
        <v>227</v>
      </c>
      <c r="M5" s="342" t="s">
        <v>391</v>
      </c>
      <c r="N5" s="343" t="s">
        <v>403</v>
      </c>
      <c r="O5" s="343" t="s">
        <v>404</v>
      </c>
      <c r="P5" s="343" t="s">
        <v>410</v>
      </c>
      <c r="Q5" s="343" t="s">
        <v>411</v>
      </c>
      <c r="R5" s="343" t="s">
        <v>488</v>
      </c>
      <c r="S5" s="343" t="s">
        <v>491</v>
      </c>
      <c r="T5" s="343" t="s">
        <v>492</v>
      </c>
      <c r="U5" s="344" t="s">
        <v>490</v>
      </c>
      <c r="W5" s="27" t="s">
        <v>539</v>
      </c>
      <c r="Z5" s="27" t="s">
        <v>2238</v>
      </c>
      <c r="AC5" s="442" t="s">
        <v>15</v>
      </c>
      <c r="AD5" s="442" t="s">
        <v>217</v>
      </c>
      <c r="AE5" s="442" t="s">
        <v>215</v>
      </c>
      <c r="AF5" s="443" t="s">
        <v>490</v>
      </c>
      <c r="AG5" s="27" t="s">
        <v>499</v>
      </c>
    </row>
    <row r="6" spans="1:33" ht="18" customHeight="1">
      <c r="A6" s="7"/>
      <c r="D6" s="12"/>
      <c r="E6" s="286"/>
      <c r="F6" s="286"/>
      <c r="G6" s="650" t="s">
        <v>228</v>
      </c>
      <c r="H6" s="511">
        <f>SUM(H7:H25)</f>
        <v>221815309844</v>
      </c>
      <c r="I6" s="651">
        <f>SUM(I7:I25)</f>
        <v>176085385</v>
      </c>
      <c r="J6" s="651">
        <f>SUM(J7:J25)</f>
        <v>4661589672</v>
      </c>
      <c r="K6" s="652">
        <f>SUM(K7:K25)</f>
        <v>226652984901</v>
      </c>
      <c r="M6" s="653">
        <f t="shared" ref="M6:U6" si="0">SUM(M7:M25)</f>
        <v>0</v>
      </c>
      <c r="N6" s="651">
        <f t="shared" si="0"/>
        <v>0</v>
      </c>
      <c r="O6" s="651">
        <f t="shared" si="0"/>
        <v>-323912678</v>
      </c>
      <c r="P6" s="651">
        <f t="shared" si="0"/>
        <v>0</v>
      </c>
      <c r="Q6" s="651">
        <f t="shared" si="0"/>
        <v>0</v>
      </c>
      <c r="R6" s="651">
        <f t="shared" si="0"/>
        <v>0</v>
      </c>
      <c r="S6" s="651">
        <f t="shared" si="0"/>
        <v>0</v>
      </c>
      <c r="T6" s="651">
        <f t="shared" si="0"/>
        <v>0</v>
      </c>
      <c r="U6" s="654">
        <f t="shared" si="0"/>
        <v>-323912678</v>
      </c>
      <c r="W6" s="655">
        <f>SUM(W7:W25)</f>
        <v>226329072223</v>
      </c>
      <c r="Y6" s="7"/>
      <c r="Z6" s="655">
        <v>225929739016</v>
      </c>
      <c r="AA6" s="7">
        <f>W6-Z6</f>
        <v>399333207</v>
      </c>
      <c r="AB6" s="7"/>
      <c r="AC6" s="7">
        <v>-43116842</v>
      </c>
      <c r="AD6" s="7">
        <v>422357865</v>
      </c>
      <c r="AE6" s="7">
        <v>20092184</v>
      </c>
      <c r="AF6" s="7">
        <v>0</v>
      </c>
      <c r="AG6" s="7">
        <v>399333207</v>
      </c>
    </row>
    <row r="7" spans="1:33" ht="18" customHeight="1">
      <c r="A7" s="7"/>
      <c r="D7" s="14">
        <v>410100</v>
      </c>
      <c r="E7" s="6" t="s">
        <v>228</v>
      </c>
      <c r="F7" s="40">
        <v>101</v>
      </c>
      <c r="G7" s="6" t="s">
        <v>613</v>
      </c>
      <c r="H7" s="5">
        <v>26151879023</v>
      </c>
      <c r="I7" s="7">
        <v>0</v>
      </c>
      <c r="J7" s="7">
        <v>0</v>
      </c>
      <c r="K7" s="15">
        <f t="shared" ref="K7:K25" si="1">SUM(H7:J7)</f>
        <v>26151879023</v>
      </c>
      <c r="M7" s="345">
        <f>-ROUND(SUMIF('1.0'!$D:$D,T_IS!D7,'1.0'!$N:$N),0)</f>
        <v>0</v>
      </c>
      <c r="N7" s="7">
        <f>-ROUND(SUMIF('2.0'!$D:$D,T_IS!D7,'2.0'!$N:$N),0)</f>
        <v>0</v>
      </c>
      <c r="O7" s="7">
        <f>-ROUND(SUMIF('3.0'!$D:$D,T_IS!D7,'3.0'!$H:$H),0)</f>
        <v>0</v>
      </c>
      <c r="P7" s="7">
        <f>-ROUND(SUMIF('4.0'!$D:$D,T_IS!D7,'4.0'!$N:$N),0)</f>
        <v>0</v>
      </c>
      <c r="Q7" s="7">
        <f>-ROUND(SUMIF('5.0'!$D:$D,T_IS!D7,'5.0'!$N:$N),0)</f>
        <v>0</v>
      </c>
      <c r="R7" s="7">
        <f>-ROUND(SUMIF('6.0'!$D:$D,T_IS!D7,'6.0'!$N:$N),0)</f>
        <v>-404060038</v>
      </c>
      <c r="S7" s="7">
        <f>-ROUND(SUMIF('7.0'!$D:$D,T_IS!D7,'7.0'!$I:$I),0)</f>
        <v>0</v>
      </c>
      <c r="T7" s="7">
        <f>-ROUND(SUMIF('8.0'!$D:$D,T_IS!F7,'8.0'!$H:$H),0)</f>
        <v>0</v>
      </c>
      <c r="U7" s="347">
        <f t="shared" ref="U7:U25" si="2">SUM(M7:T7)</f>
        <v>-404060038</v>
      </c>
      <c r="W7" s="39">
        <f t="shared" ref="W7:W25" si="3">U7+K7</f>
        <v>25747818985</v>
      </c>
      <c r="Y7" s="7"/>
      <c r="Z7" s="39">
        <v>25747818985</v>
      </c>
      <c r="AA7" s="7">
        <f t="shared" ref="AA7:AA70" si="4">W7-Z7</f>
        <v>0</v>
      </c>
      <c r="AB7" s="7"/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ht="18" customHeight="1">
      <c r="A8" s="7"/>
      <c r="D8" s="14">
        <v>410120</v>
      </c>
      <c r="E8" s="6" t="s">
        <v>228</v>
      </c>
      <c r="F8" s="40">
        <v>101</v>
      </c>
      <c r="G8" s="6" t="s">
        <v>614</v>
      </c>
      <c r="H8" s="5">
        <v>-21621398</v>
      </c>
      <c r="I8" s="7">
        <v>0</v>
      </c>
      <c r="J8" s="7">
        <v>0</v>
      </c>
      <c r="K8" s="15">
        <f t="shared" si="1"/>
        <v>-21621398</v>
      </c>
      <c r="M8" s="345">
        <f>-ROUND(SUMIF('1.0'!$D:$D,T_IS!D8,'1.0'!$N:$N),0)</f>
        <v>0</v>
      </c>
      <c r="N8" s="7">
        <f>-ROUND(SUMIF('2.0'!$D:$D,T_IS!D8,'2.0'!$N:$N),0)</f>
        <v>0</v>
      </c>
      <c r="O8" s="7">
        <f>-ROUND(SUMIF('3.0'!$D:$D,T_IS!D8,'3.0'!$H:$H),0)</f>
        <v>0</v>
      </c>
      <c r="P8" s="7">
        <f>-ROUND(SUMIF('4.0'!$D:$D,T_IS!D8,'4.0'!$N:$N),0)</f>
        <v>0</v>
      </c>
      <c r="Q8" s="7">
        <f>-ROUND(SUMIF('5.0'!$D:$D,T_IS!D8,'5.0'!$N:$N),0)</f>
        <v>0</v>
      </c>
      <c r="R8" s="7">
        <f>-ROUND(SUMIF('6.0'!$D:$D,T_IS!D8,'6.0'!$N:$N),0)</f>
        <v>0</v>
      </c>
      <c r="S8" s="7">
        <f>-ROUND(SUMIF('7.0'!$D:$D,T_IS!D8,'7.0'!$I:$I),0)</f>
        <v>0</v>
      </c>
      <c r="T8" s="7">
        <f>-ROUND(SUMIF('8.0'!$D:$D,T_IS!F8,'8.0'!$H:$H),0)</f>
        <v>0</v>
      </c>
      <c r="U8" s="347">
        <f t="shared" si="2"/>
        <v>0</v>
      </c>
      <c r="W8" s="39">
        <f t="shared" si="3"/>
        <v>-21621398</v>
      </c>
      <c r="Y8" s="7"/>
      <c r="Z8" s="39">
        <v>-21621398</v>
      </c>
      <c r="AA8" s="7">
        <f t="shared" si="4"/>
        <v>0</v>
      </c>
      <c r="AB8" s="7"/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ht="18" customHeight="1">
      <c r="A9" s="7"/>
      <c r="D9" s="14">
        <v>410130</v>
      </c>
      <c r="E9" s="6" t="s">
        <v>228</v>
      </c>
      <c r="F9" s="40">
        <v>105</v>
      </c>
      <c r="G9" s="6" t="s">
        <v>615</v>
      </c>
      <c r="H9" s="5">
        <v>1382305576</v>
      </c>
      <c r="I9" s="7">
        <v>43083961</v>
      </c>
      <c r="J9" s="7">
        <v>4641497488</v>
      </c>
      <c r="K9" s="15">
        <f t="shared" si="1"/>
        <v>6066887025</v>
      </c>
      <c r="M9" s="345">
        <f>-ROUND(SUMIF('1.0'!$D:$D,T_IS!D9,'1.0'!$N:$N),0)</f>
        <v>0</v>
      </c>
      <c r="N9" s="7">
        <f>-ROUND(SUMIF('2.0'!$D:$D,T_IS!D9,'2.0'!$N:$N),0)</f>
        <v>0</v>
      </c>
      <c r="O9" s="7">
        <f>-ROUND(SUMIF('3.0'!$D:$D,T_IS!D9,'3.0'!$H:$H),0)</f>
        <v>-101817233</v>
      </c>
      <c r="P9" s="7">
        <f>-ROUND(SUMIF('4.0'!$D:$D,T_IS!D9,'4.0'!$N:$N),0)</f>
        <v>0</v>
      </c>
      <c r="Q9" s="7">
        <f>-ROUND(SUMIF('5.0'!$D:$D,T_IS!D9,'5.0'!$N:$N),0)</f>
        <v>0</v>
      </c>
      <c r="R9" s="7">
        <f>-ROUND(SUMIF('6.0'!$D:$D,T_IS!D9,'6.0'!$N:$N),0)</f>
        <v>0</v>
      </c>
      <c r="S9" s="7">
        <f>-ROUND(SUMIF('7.0'!$D:$D,T_IS!D9,'7.0'!$I:$I),0)</f>
        <v>0</v>
      </c>
      <c r="T9" s="7">
        <f>-ROUND(SUMIF('8.0'!$D:$D,T_IS!F9,'8.0'!$H:$H),0)</f>
        <v>0</v>
      </c>
      <c r="U9" s="347">
        <f t="shared" si="2"/>
        <v>-101817233</v>
      </c>
      <c r="W9" s="39">
        <f t="shared" si="3"/>
        <v>5965069792</v>
      </c>
      <c r="Y9" s="7"/>
      <c r="Z9" s="39">
        <v>5965069792</v>
      </c>
      <c r="AA9" s="7">
        <f t="shared" si="4"/>
        <v>0</v>
      </c>
      <c r="AB9" s="7"/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ht="18" customHeight="1">
      <c r="A10" s="7"/>
      <c r="D10" s="14">
        <v>410140</v>
      </c>
      <c r="E10" s="6" t="s">
        <v>228</v>
      </c>
      <c r="F10" s="40">
        <v>105</v>
      </c>
      <c r="G10" s="6" t="s">
        <v>616</v>
      </c>
      <c r="H10" s="5">
        <v>-18771583</v>
      </c>
      <c r="I10" s="7">
        <v>0</v>
      </c>
      <c r="J10" s="7">
        <v>0</v>
      </c>
      <c r="K10" s="15">
        <f t="shared" si="1"/>
        <v>-18771583</v>
      </c>
      <c r="M10" s="345">
        <f>-ROUND(SUMIF('1.0'!$D:$D,T_IS!D10,'1.0'!$N:$N),0)</f>
        <v>0</v>
      </c>
      <c r="N10" s="7">
        <f>-ROUND(SUMIF('2.0'!$D:$D,T_IS!D10,'2.0'!$N:$N),0)</f>
        <v>0</v>
      </c>
      <c r="O10" s="7">
        <f>-ROUND(SUMIF('3.0'!$D:$D,T_IS!D10,'3.0'!$H:$H),0)</f>
        <v>0</v>
      </c>
      <c r="P10" s="7">
        <f>-ROUND(SUMIF('4.0'!$D:$D,T_IS!D10,'4.0'!$N:$N),0)</f>
        <v>0</v>
      </c>
      <c r="Q10" s="7">
        <f>-ROUND(SUMIF('5.0'!$D:$D,T_IS!D10,'5.0'!$N:$N),0)</f>
        <v>0</v>
      </c>
      <c r="R10" s="7">
        <f>-ROUND(SUMIF('6.0'!$D:$D,T_IS!D10,'6.0'!$N:$N),0)</f>
        <v>0</v>
      </c>
      <c r="S10" s="7">
        <f>-ROUND(SUMIF('7.0'!$D:$D,T_IS!D10,'7.0'!$I:$I),0)</f>
        <v>0</v>
      </c>
      <c r="T10" s="7">
        <f>-ROUND(SUMIF('8.0'!$D:$D,T_IS!F10,'8.0'!$H:$H),0)</f>
        <v>0</v>
      </c>
      <c r="U10" s="347">
        <f t="shared" si="2"/>
        <v>0</v>
      </c>
      <c r="W10" s="39">
        <f t="shared" si="3"/>
        <v>-18771583</v>
      </c>
      <c r="Y10" s="7"/>
      <c r="Z10" s="39">
        <v>-18771583</v>
      </c>
      <c r="AA10" s="7">
        <f t="shared" si="4"/>
        <v>0</v>
      </c>
      <c r="AB10" s="7"/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 ht="18" customHeight="1">
      <c r="A11" s="7"/>
      <c r="C11" s="720" t="s">
        <v>2043</v>
      </c>
      <c r="D11" s="14">
        <v>410250</v>
      </c>
      <c r="E11" s="6" t="s">
        <v>228</v>
      </c>
      <c r="F11" s="40">
        <v>105</v>
      </c>
      <c r="G11" s="6" t="s">
        <v>2042</v>
      </c>
      <c r="H11" s="5">
        <v>-5636045</v>
      </c>
      <c r="I11" s="7">
        <v>0</v>
      </c>
      <c r="J11" s="7">
        <v>0</v>
      </c>
      <c r="K11" s="15">
        <f t="shared" si="1"/>
        <v>-5636045</v>
      </c>
      <c r="M11" s="345">
        <f>-ROUND(SUMIF('1.0'!$D:$D,T_IS!D11,'1.0'!$N:$N),0)</f>
        <v>0</v>
      </c>
      <c r="N11" s="7">
        <f>-ROUND(SUMIF('2.0'!$D:$D,T_IS!D11,'2.0'!$N:$N),0)</f>
        <v>0</v>
      </c>
      <c r="O11" s="7">
        <f>-ROUND(SUMIF('3.0'!$D:$D,T_IS!D11,'3.0'!$H:$H),0)</f>
        <v>0</v>
      </c>
      <c r="P11" s="7">
        <f>-ROUND(SUMIF('4.0'!$D:$D,T_IS!D11,'4.0'!$N:$N),0)</f>
        <v>0</v>
      </c>
      <c r="Q11" s="7">
        <f>-ROUND(SUMIF('5.0'!$D:$D,T_IS!D11,'5.0'!$N:$N),0)</f>
        <v>0</v>
      </c>
      <c r="R11" s="7">
        <f>-ROUND(SUMIF('6.0'!$D:$D,T_IS!D11,'6.0'!$N:$N),0)</f>
        <v>0</v>
      </c>
      <c r="S11" s="7">
        <f>-ROUND(SUMIF('7.0'!$D:$D,T_IS!D11,'7.0'!$I:$I),0)</f>
        <v>0</v>
      </c>
      <c r="T11" s="7">
        <f>-ROUND(SUMIF('8.0'!$D:$D,T_IS!F11,'8.0'!$H:$H),0)</f>
        <v>0</v>
      </c>
      <c r="U11" s="347">
        <f t="shared" si="2"/>
        <v>0</v>
      </c>
      <c r="W11" s="39">
        <f t="shared" si="3"/>
        <v>-5636045</v>
      </c>
      <c r="Y11" s="7"/>
      <c r="Z11" s="39">
        <v>-5636045</v>
      </c>
      <c r="AA11" s="7">
        <f t="shared" si="4"/>
        <v>0</v>
      </c>
      <c r="AB11" s="7"/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 ht="18" customHeight="1">
      <c r="A12" s="7"/>
      <c r="D12" s="14" t="s">
        <v>1877</v>
      </c>
      <c r="E12" s="6" t="s">
        <v>228</v>
      </c>
      <c r="F12" s="40">
        <v>105</v>
      </c>
      <c r="G12" s="6" t="s">
        <v>1878</v>
      </c>
      <c r="H12" s="5">
        <v>0</v>
      </c>
      <c r="I12" s="7">
        <v>0</v>
      </c>
      <c r="J12" s="7">
        <v>0</v>
      </c>
      <c r="K12" s="15">
        <f t="shared" si="1"/>
        <v>0</v>
      </c>
      <c r="M12" s="345">
        <f>-ROUND(SUMIF('1.0'!$D:$D,T_IS!D12,'1.0'!$N:$N),0)</f>
        <v>0</v>
      </c>
      <c r="N12" s="7">
        <f>-ROUND(SUMIF('2.0'!$D:$D,T_IS!D12,'2.0'!$N:$N),0)</f>
        <v>0</v>
      </c>
      <c r="O12" s="7">
        <f>-ROUND(SUMIF('3.0'!$D:$D,T_IS!D12,'3.0'!$H:$H),0)</f>
        <v>0</v>
      </c>
      <c r="P12" s="7">
        <f>-ROUND(SUMIF('4.0'!$D:$D,T_IS!D12,'4.0'!$N:$N),0)</f>
        <v>0</v>
      </c>
      <c r="Q12" s="7">
        <f>-ROUND(SUMIF('5.0'!$D:$D,T_IS!D12,'5.0'!$N:$N),0)</f>
        <v>0</v>
      </c>
      <c r="R12" s="7">
        <f>-ROUND(SUMIF('6.0'!$D:$D,T_IS!D12,'6.0'!$N:$N),0)</f>
        <v>0</v>
      </c>
      <c r="S12" s="7">
        <f>-ROUND(SUMIF('7.0'!$D:$D,T_IS!D12,'7.0'!$I:$I),0)</f>
        <v>0</v>
      </c>
      <c r="T12" s="7">
        <f>-ROUND(SUMIF('8.0'!$D:$D,T_IS!F12,'8.0'!$H:$H),0)</f>
        <v>0</v>
      </c>
      <c r="U12" s="347">
        <f t="shared" si="2"/>
        <v>0</v>
      </c>
      <c r="W12" s="39">
        <f t="shared" si="3"/>
        <v>0</v>
      </c>
      <c r="Y12" s="7"/>
      <c r="Z12" s="39">
        <v>0</v>
      </c>
      <c r="AA12" s="7">
        <f t="shared" si="4"/>
        <v>0</v>
      </c>
      <c r="AB12" s="7"/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 ht="18" customHeight="1">
      <c r="A13" s="7"/>
      <c r="D13" s="14">
        <v>410200</v>
      </c>
      <c r="E13" s="6" t="s">
        <v>228</v>
      </c>
      <c r="F13" s="40">
        <v>102</v>
      </c>
      <c r="G13" s="6" t="s">
        <v>617</v>
      </c>
      <c r="H13" s="5">
        <v>4805055240</v>
      </c>
      <c r="I13" s="7">
        <v>91364336</v>
      </c>
      <c r="J13" s="7">
        <v>0</v>
      </c>
      <c r="K13" s="15">
        <f t="shared" si="1"/>
        <v>4896419576</v>
      </c>
      <c r="M13" s="345">
        <f>-ROUND(SUMIF('1.0'!$D:$D,T_IS!D13,'1.0'!$N:$N),0)</f>
        <v>0</v>
      </c>
      <c r="N13" s="7">
        <f>-ROUND(SUMIF('2.0'!$D:$D,T_IS!D13,'2.0'!$N:$N),0)</f>
        <v>0</v>
      </c>
      <c r="O13" s="7">
        <f>-ROUND(SUMIF('3.0'!$D:$D,T_IS!D13,'3.0'!$H:$H),0)</f>
        <v>0</v>
      </c>
      <c r="P13" s="7">
        <f>-ROUND(SUMIF('4.0'!$D:$D,T_IS!D13,'4.0'!$N:$N),0)</f>
        <v>0</v>
      </c>
      <c r="Q13" s="7">
        <f>-ROUND(SUMIF('5.0'!$D:$D,T_IS!D13,'5.0'!$N:$N),0)</f>
        <v>0</v>
      </c>
      <c r="R13" s="7">
        <f>-ROUND(SUMIF('6.0'!$D:$D,T_IS!D13,'6.0'!$N:$N),0)</f>
        <v>404060038</v>
      </c>
      <c r="S13" s="7">
        <f>-ROUND(SUMIF('7.0'!$D:$D,T_IS!D13,'7.0'!$I:$I),0)</f>
        <v>0</v>
      </c>
      <c r="T13" s="7">
        <f>-ROUND(SUMIF('8.0'!$D:$D,T_IS!F13,'8.0'!$H:$H),0)</f>
        <v>0</v>
      </c>
      <c r="U13" s="347">
        <f t="shared" si="2"/>
        <v>404060038</v>
      </c>
      <c r="W13" s="39">
        <f t="shared" si="3"/>
        <v>5300479614</v>
      </c>
      <c r="Y13" s="7"/>
      <c r="Z13" s="39">
        <v>5300479614</v>
      </c>
      <c r="AA13" s="7">
        <f t="shared" si="4"/>
        <v>0</v>
      </c>
      <c r="AB13" s="7"/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 ht="18" customHeight="1">
      <c r="A14" s="7"/>
      <c r="D14" s="14">
        <v>410220</v>
      </c>
      <c r="E14" s="6" t="s">
        <v>228</v>
      </c>
      <c r="F14" s="40">
        <v>102</v>
      </c>
      <c r="G14" s="6" t="s">
        <v>618</v>
      </c>
      <c r="H14" s="5">
        <v>-2402000</v>
      </c>
      <c r="I14" s="7">
        <v>0</v>
      </c>
      <c r="J14" s="7">
        <v>0</v>
      </c>
      <c r="K14" s="15">
        <f t="shared" si="1"/>
        <v>-2402000</v>
      </c>
      <c r="M14" s="345">
        <f>-ROUND(SUMIF('1.0'!$D:$D,T_IS!D14,'1.0'!$N:$N),0)</f>
        <v>0</v>
      </c>
      <c r="N14" s="7">
        <f>-ROUND(SUMIF('2.0'!$D:$D,T_IS!D14,'2.0'!$N:$N),0)</f>
        <v>0</v>
      </c>
      <c r="O14" s="7">
        <f>-ROUND(SUMIF('3.0'!$D:$D,T_IS!D14,'3.0'!$H:$H),0)</f>
        <v>0</v>
      </c>
      <c r="P14" s="7">
        <f>-ROUND(SUMIF('4.0'!$D:$D,T_IS!D14,'4.0'!$N:$N),0)</f>
        <v>0</v>
      </c>
      <c r="Q14" s="7">
        <f>-ROUND(SUMIF('5.0'!$D:$D,T_IS!D14,'5.0'!$N:$N),0)</f>
        <v>0</v>
      </c>
      <c r="R14" s="7">
        <f>-ROUND(SUMIF('6.0'!$D:$D,T_IS!D14,'6.0'!$N:$N),0)</f>
        <v>0</v>
      </c>
      <c r="S14" s="7">
        <f>-ROUND(SUMIF('7.0'!$D:$D,T_IS!D14,'7.0'!$I:$I),0)</f>
        <v>0</v>
      </c>
      <c r="T14" s="7">
        <f>-ROUND(SUMIF('8.0'!$D:$D,T_IS!F14,'8.0'!$H:$H),0)</f>
        <v>0</v>
      </c>
      <c r="U14" s="347">
        <f t="shared" si="2"/>
        <v>0</v>
      </c>
      <c r="W14" s="39">
        <f t="shared" si="3"/>
        <v>-2402000</v>
      </c>
      <c r="Y14" s="7"/>
      <c r="Z14" s="39">
        <v>-2402000</v>
      </c>
      <c r="AA14" s="7">
        <f t="shared" si="4"/>
        <v>0</v>
      </c>
      <c r="AB14" s="7"/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3" ht="18" customHeight="1">
      <c r="A15" s="7"/>
      <c r="D15" s="14" t="s">
        <v>1598</v>
      </c>
      <c r="E15" s="6" t="s">
        <v>228</v>
      </c>
      <c r="F15" s="40">
        <v>102</v>
      </c>
      <c r="G15" s="6" t="s">
        <v>1599</v>
      </c>
      <c r="H15" s="5">
        <v>-119669243</v>
      </c>
      <c r="I15" s="7">
        <v>0</v>
      </c>
      <c r="J15" s="7">
        <v>0</v>
      </c>
      <c r="K15" s="15">
        <f t="shared" si="1"/>
        <v>-119669243</v>
      </c>
      <c r="M15" s="345">
        <f>-ROUND(SUMIF('1.0'!$D:$D,T_IS!D15,'1.0'!$N:$N),0)</f>
        <v>0</v>
      </c>
      <c r="N15" s="7">
        <f>-ROUND(SUMIF('2.0'!$D:$D,T_IS!D15,'2.0'!$N:$N),0)</f>
        <v>0</v>
      </c>
      <c r="O15" s="7">
        <f>-ROUND(SUMIF('3.0'!$D:$D,T_IS!D15,'3.0'!$H:$H),0)</f>
        <v>0</v>
      </c>
      <c r="P15" s="7"/>
      <c r="Q15" s="7">
        <f>-ROUND(SUMIF('5.0'!$D:$D,T_IS!D15,'5.0'!$N:$N),0)</f>
        <v>0</v>
      </c>
      <c r="R15" s="7"/>
      <c r="S15" s="7">
        <f>-ROUND(SUMIF('7.0'!$D:$D,T_IS!D15,'7.0'!$I:$I),0)</f>
        <v>0</v>
      </c>
      <c r="T15" s="7"/>
      <c r="U15" s="347">
        <f t="shared" si="2"/>
        <v>0</v>
      </c>
      <c r="W15" s="39">
        <f t="shared" si="3"/>
        <v>-119669243</v>
      </c>
      <c r="Y15" s="7"/>
      <c r="Z15" s="39">
        <v>-119669243</v>
      </c>
      <c r="AA15" s="7">
        <f t="shared" si="4"/>
        <v>0</v>
      </c>
      <c r="AB15" s="7"/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 ht="18" customHeight="1">
      <c r="A16" s="7"/>
      <c r="D16" s="14">
        <v>410230</v>
      </c>
      <c r="E16" s="6" t="s">
        <v>228</v>
      </c>
      <c r="F16" s="40">
        <v>106</v>
      </c>
      <c r="G16" s="6" t="s">
        <v>619</v>
      </c>
      <c r="H16" s="5">
        <v>-252852656</v>
      </c>
      <c r="I16" s="7">
        <v>0</v>
      </c>
      <c r="J16" s="7">
        <v>0</v>
      </c>
      <c r="K16" s="15">
        <f t="shared" si="1"/>
        <v>-252852656</v>
      </c>
      <c r="M16" s="345">
        <f>-ROUND(SUMIF('1.0'!$D:$D,T_IS!D16,'1.0'!$N:$N),0)</f>
        <v>0</v>
      </c>
      <c r="N16" s="7">
        <f>-ROUND(SUMIF('2.0'!$D:$D,T_IS!D16,'2.0'!$N:$N),0)</f>
        <v>0</v>
      </c>
      <c r="O16" s="7">
        <f>-ROUND(SUMIF('3.0'!$D:$D,T_IS!D16,'3.0'!$H:$H),0)</f>
        <v>0</v>
      </c>
      <c r="P16" s="7">
        <f>-ROUND(SUMIF('4.0'!$D:$D,T_IS!D16,'4.0'!$N:$N),0)</f>
        <v>0</v>
      </c>
      <c r="Q16" s="7">
        <f>-ROUND(SUMIF('5.0'!$D:$D,T_IS!D16,'5.0'!$N:$N),0)</f>
        <v>0</v>
      </c>
      <c r="R16" s="7">
        <f>-ROUND(SUMIF('6.0'!$D:$D,T_IS!D16,'6.0'!$N:$N),0)</f>
        <v>0</v>
      </c>
      <c r="S16" s="7">
        <f>-ROUND(SUMIF('7.0'!$D:$D,T_IS!D16,'7.0'!$I:$I),0)</f>
        <v>0</v>
      </c>
      <c r="T16" s="7">
        <f>-ROUND(SUMIF('8.0'!$D:$D,T_IS!F16,'8.0'!$H:$H),0)</f>
        <v>0</v>
      </c>
      <c r="U16" s="347">
        <f t="shared" si="2"/>
        <v>0</v>
      </c>
      <c r="W16" s="39">
        <f t="shared" si="3"/>
        <v>-252852656</v>
      </c>
      <c r="Y16" s="7"/>
      <c r="Z16" s="39">
        <v>-675210521</v>
      </c>
      <c r="AA16" s="7">
        <f t="shared" si="4"/>
        <v>422357865</v>
      </c>
      <c r="AB16" s="7"/>
      <c r="AC16" s="7">
        <v>0</v>
      </c>
      <c r="AD16" s="7">
        <v>422357865</v>
      </c>
      <c r="AE16" s="7">
        <v>0</v>
      </c>
      <c r="AF16" s="7">
        <v>0</v>
      </c>
      <c r="AG16" s="7">
        <v>422357865</v>
      </c>
    </row>
    <row r="17" spans="1:33" ht="18" customHeight="1">
      <c r="A17" s="7"/>
      <c r="D17" s="14">
        <v>410240</v>
      </c>
      <c r="E17" s="6" t="s">
        <v>228</v>
      </c>
      <c r="F17" s="40">
        <v>106</v>
      </c>
      <c r="G17" s="6" t="s">
        <v>620</v>
      </c>
      <c r="H17" s="5">
        <v>16176051587</v>
      </c>
      <c r="I17" s="7">
        <v>0</v>
      </c>
      <c r="J17" s="7">
        <v>0</v>
      </c>
      <c r="K17" s="15">
        <f t="shared" si="1"/>
        <v>16176051587</v>
      </c>
      <c r="M17" s="345">
        <f>-ROUND(SUMIF('1.0'!$D:$D,T_IS!D17,'1.0'!$N:$N),0)</f>
        <v>0</v>
      </c>
      <c r="N17" s="7">
        <f>-ROUND(SUMIF('2.0'!$D:$D,T_IS!D17,'2.0'!$N:$N),0)</f>
        <v>0</v>
      </c>
      <c r="O17" s="7">
        <f>-ROUND(SUMIF('3.0'!$D:$D,T_IS!D17,'3.0'!$H:$H),0)</f>
        <v>-222095445</v>
      </c>
      <c r="P17" s="7">
        <f>-ROUND(SUMIF('4.0'!$D:$D,T_IS!D17,'4.0'!$N:$N),0)</f>
        <v>0</v>
      </c>
      <c r="Q17" s="7">
        <f>-ROUND(SUMIF('5.0'!$D:$D,T_IS!D17,'5.0'!$N:$N),0)</f>
        <v>0</v>
      </c>
      <c r="R17" s="7">
        <f>-ROUND(SUMIF('6.0'!$D:$D,T_IS!D17,'6.0'!$N:$N),0)</f>
        <v>0</v>
      </c>
      <c r="S17" s="7">
        <f>-ROUND(SUMIF('7.0'!$D:$D,T_IS!D17,'7.0'!$I:$I),0)</f>
        <v>0</v>
      </c>
      <c r="T17" s="7">
        <f>-ROUND(SUMIF('8.0'!$D:$D,T_IS!F17,'8.0'!$H:$H),0)</f>
        <v>0</v>
      </c>
      <c r="U17" s="347">
        <f t="shared" si="2"/>
        <v>-222095445</v>
      </c>
      <c r="W17" s="39">
        <f t="shared" si="3"/>
        <v>15953956142</v>
      </c>
      <c r="Y17" s="7"/>
      <c r="Z17" s="39">
        <v>15953956142</v>
      </c>
      <c r="AA17" s="7">
        <f t="shared" si="4"/>
        <v>0</v>
      </c>
      <c r="AB17" s="7"/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 ht="18" customHeight="1">
      <c r="A18" s="7"/>
      <c r="D18" s="14">
        <v>410241</v>
      </c>
      <c r="E18" s="6" t="s">
        <v>228</v>
      </c>
      <c r="F18" s="40">
        <v>106</v>
      </c>
      <c r="G18" s="6" t="s">
        <v>621</v>
      </c>
      <c r="H18" s="5">
        <v>-418907882</v>
      </c>
      <c r="I18" s="7">
        <v>0</v>
      </c>
      <c r="J18" s="7">
        <v>0</v>
      </c>
      <c r="K18" s="15">
        <f t="shared" si="1"/>
        <v>-418907882</v>
      </c>
      <c r="M18" s="345">
        <f>-ROUND(SUMIF('1.0'!$D:$D,T_IS!D18,'1.0'!$N:$N),0)</f>
        <v>0</v>
      </c>
      <c r="N18" s="7">
        <f>-ROUND(SUMIF('2.0'!$D:$D,T_IS!D18,'2.0'!$N:$N),0)</f>
        <v>0</v>
      </c>
      <c r="O18" s="7">
        <f>-ROUND(SUMIF('3.0'!$D:$D,T_IS!D18,'3.0'!$H:$H),0)</f>
        <v>0</v>
      </c>
      <c r="P18" s="7">
        <f>-ROUND(SUMIF('4.0'!$D:$D,T_IS!D18,'4.0'!$N:$N),0)</f>
        <v>0</v>
      </c>
      <c r="Q18" s="7">
        <f>-ROUND(SUMIF('5.0'!$D:$D,T_IS!D18,'5.0'!$N:$N),0)</f>
        <v>0</v>
      </c>
      <c r="R18" s="7">
        <f>-ROUND(SUMIF('6.0'!$D:$D,T_IS!D18,'6.0'!$N:$N),0)</f>
        <v>0</v>
      </c>
      <c r="S18" s="7">
        <f>-ROUND(SUMIF('7.0'!$D:$D,T_IS!D18,'7.0'!$I:$I),0)</f>
        <v>0</v>
      </c>
      <c r="T18" s="7">
        <f>-ROUND(SUMIF('8.0'!$D:$D,T_IS!F18,'8.0'!$H:$H),0)</f>
        <v>0</v>
      </c>
      <c r="U18" s="347">
        <f t="shared" si="2"/>
        <v>0</v>
      </c>
      <c r="W18" s="39">
        <f t="shared" si="3"/>
        <v>-418907882</v>
      </c>
      <c r="Y18" s="7"/>
      <c r="Z18" s="39">
        <v>-418907882</v>
      </c>
      <c r="AA18" s="7">
        <f t="shared" si="4"/>
        <v>0</v>
      </c>
      <c r="AB18" s="7"/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3" ht="18" customHeight="1">
      <c r="A19" s="7"/>
      <c r="D19" s="14">
        <v>410610</v>
      </c>
      <c r="E19" s="6" t="s">
        <v>228</v>
      </c>
      <c r="F19" s="40">
        <v>103</v>
      </c>
      <c r="G19" s="6" t="s">
        <v>231</v>
      </c>
      <c r="H19" s="5">
        <v>55164035937</v>
      </c>
      <c r="I19" s="7">
        <v>0</v>
      </c>
      <c r="J19" s="7">
        <v>0</v>
      </c>
      <c r="K19" s="15">
        <f t="shared" si="1"/>
        <v>55164035937</v>
      </c>
      <c r="M19" s="345">
        <f>-ROUND(SUMIF('1.0'!$D:$D,T_IS!D19,'1.0'!$N:$N),0)</f>
        <v>0</v>
      </c>
      <c r="N19" s="7">
        <f>-ROUND(SUMIF('2.0'!$D:$D,T_IS!D19,'2.0'!$N:$N),0)</f>
        <v>0</v>
      </c>
      <c r="O19" s="7">
        <f>-ROUND(SUMIF('3.0'!$D:$D,T_IS!D19,'3.0'!$H:$H),0)</f>
        <v>0</v>
      </c>
      <c r="P19" s="7">
        <f>-ROUND(SUMIF('4.0'!$D:$D,T_IS!D19,'4.0'!$N:$N),0)</f>
        <v>0</v>
      </c>
      <c r="Q19" s="7">
        <f>-ROUND(SUMIF('5.0'!$D:$D,T_IS!D19,'5.0'!$N:$N),0)</f>
        <v>0</v>
      </c>
      <c r="R19" s="7">
        <f>-ROUND(SUMIF('6.0'!$D:$D,T_IS!D19,'6.0'!$N:$N),0)</f>
        <v>0</v>
      </c>
      <c r="S19" s="7">
        <f>-ROUND(SUMIF('7.0'!$D:$D,T_IS!D19,'7.0'!$I:$I),0)</f>
        <v>0</v>
      </c>
      <c r="T19" s="7">
        <f>-ROUND(SUMIF('8.0'!$D:$D,T_IS!F19,'8.0'!$H:$H),0)</f>
        <v>0</v>
      </c>
      <c r="U19" s="347">
        <f t="shared" si="2"/>
        <v>0</v>
      </c>
      <c r="W19" s="39">
        <f t="shared" si="3"/>
        <v>55164035937</v>
      </c>
      <c r="Y19" s="7"/>
      <c r="Z19" s="39">
        <v>55164035937</v>
      </c>
      <c r="AA19" s="7">
        <f t="shared" si="4"/>
        <v>0</v>
      </c>
      <c r="AB19" s="7"/>
      <c r="AC19" s="7">
        <v>0</v>
      </c>
      <c r="AD19" s="7">
        <v>0</v>
      </c>
      <c r="AE19" s="7">
        <v>0</v>
      </c>
      <c r="AF19" s="7">
        <v>0</v>
      </c>
      <c r="AG19" s="7">
        <v>0</v>
      </c>
    </row>
    <row r="20" spans="1:33" ht="18" customHeight="1">
      <c r="A20" s="7"/>
      <c r="D20" s="14">
        <v>410620</v>
      </c>
      <c r="E20" s="6" t="s">
        <v>228</v>
      </c>
      <c r="F20" s="40">
        <v>103</v>
      </c>
      <c r="G20" s="6" t="s">
        <v>232</v>
      </c>
      <c r="H20" s="5">
        <v>10567744810</v>
      </c>
      <c r="I20" s="7">
        <v>0</v>
      </c>
      <c r="J20" s="7">
        <v>0</v>
      </c>
      <c r="K20" s="15">
        <f t="shared" si="1"/>
        <v>10567744810</v>
      </c>
      <c r="M20" s="345">
        <f>-ROUND(SUMIF('1.0'!$D:$D,T_IS!D20,'1.0'!$N:$N),0)</f>
        <v>0</v>
      </c>
      <c r="N20" s="7">
        <f>-ROUND(SUMIF('2.0'!$D:$D,T_IS!D20,'2.0'!$N:$N),0)</f>
        <v>0</v>
      </c>
      <c r="O20" s="7">
        <f>-ROUND(SUMIF('3.0'!$D:$D,T_IS!D20,'3.0'!$H:$H),0)</f>
        <v>0</v>
      </c>
      <c r="P20" s="7">
        <f>-ROUND(SUMIF('4.0'!$D:$D,T_IS!D20,'4.0'!$N:$N),0)</f>
        <v>0</v>
      </c>
      <c r="Q20" s="7">
        <f>-ROUND(SUMIF('5.0'!$D:$D,T_IS!D20,'5.0'!$N:$N),0)</f>
        <v>0</v>
      </c>
      <c r="R20" s="7">
        <f>-ROUND(SUMIF('6.0'!$D:$D,T_IS!D20,'6.0'!$N:$N),0)</f>
        <v>0</v>
      </c>
      <c r="S20" s="7">
        <f>-ROUND(SUMIF('7.0'!$D:$D,T_IS!D20,'7.0'!$I:$I),0)</f>
        <v>0</v>
      </c>
      <c r="T20" s="7">
        <f>-ROUND(SUMIF('8.0'!$D:$D,T_IS!F20,'8.0'!$H:$H),0)</f>
        <v>0</v>
      </c>
      <c r="U20" s="347">
        <f t="shared" si="2"/>
        <v>0</v>
      </c>
      <c r="W20" s="39">
        <f t="shared" si="3"/>
        <v>10567744810</v>
      </c>
      <c r="Y20" s="7"/>
      <c r="Z20" s="39">
        <v>10567744810</v>
      </c>
      <c r="AA20" s="7">
        <f t="shared" si="4"/>
        <v>0</v>
      </c>
      <c r="AB20" s="7"/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 ht="18" customHeight="1">
      <c r="A21" s="7"/>
      <c r="D21" s="14">
        <v>410630</v>
      </c>
      <c r="E21" s="6" t="s">
        <v>228</v>
      </c>
      <c r="F21" s="40">
        <v>103</v>
      </c>
      <c r="G21" s="6" t="s">
        <v>233</v>
      </c>
      <c r="H21" s="5">
        <v>103264033490</v>
      </c>
      <c r="I21" s="7">
        <v>0</v>
      </c>
      <c r="J21" s="7">
        <v>0</v>
      </c>
      <c r="K21" s="15">
        <f t="shared" si="1"/>
        <v>103264033490</v>
      </c>
      <c r="M21" s="345">
        <f>-ROUND(SUMIF('1.0'!$D:$D,T_IS!D21,'1.0'!$N:$N),0)</f>
        <v>0</v>
      </c>
      <c r="N21" s="7">
        <f>-ROUND(SUMIF('2.0'!$D:$D,T_IS!D21,'2.0'!$N:$N),0)</f>
        <v>0</v>
      </c>
      <c r="O21" s="7">
        <f>-ROUND(SUMIF('3.0'!$D:$D,T_IS!D21,'3.0'!$H:$H),0)</f>
        <v>0</v>
      </c>
      <c r="P21" s="7">
        <f>-ROUND(SUMIF('4.0'!$D:$D,T_IS!D21,'4.0'!$N:$N),0)</f>
        <v>0</v>
      </c>
      <c r="Q21" s="7">
        <f>-ROUND(SUMIF('5.0'!$D:$D,T_IS!D21,'5.0'!$N:$N),0)</f>
        <v>0</v>
      </c>
      <c r="R21" s="7">
        <f>-ROUND(SUMIF('6.0'!$D:$D,T_IS!D21,'6.0'!$N:$N),0)</f>
        <v>0</v>
      </c>
      <c r="S21" s="7">
        <f>-ROUND(SUMIF('7.0'!$D:$D,T_IS!D21,'7.0'!$I:$I),0)</f>
        <v>0</v>
      </c>
      <c r="T21" s="7">
        <f>-ROUND(SUMIF('8.0'!$D:$D,T_IS!F21,'8.0'!$H:$H),0)</f>
        <v>0</v>
      </c>
      <c r="U21" s="347">
        <f t="shared" si="2"/>
        <v>0</v>
      </c>
      <c r="W21" s="39">
        <f t="shared" si="3"/>
        <v>103264033490</v>
      </c>
      <c r="Y21" s="7"/>
      <c r="Z21" s="39">
        <v>103325818481</v>
      </c>
      <c r="AA21" s="7">
        <f t="shared" si="4"/>
        <v>-61784991</v>
      </c>
      <c r="AB21" s="7"/>
      <c r="AC21" s="7">
        <v>-61784991</v>
      </c>
      <c r="AD21" s="7">
        <v>0</v>
      </c>
      <c r="AE21" s="7">
        <v>0</v>
      </c>
      <c r="AF21" s="7">
        <v>0</v>
      </c>
      <c r="AG21" s="7">
        <v>-61784991</v>
      </c>
    </row>
    <row r="22" spans="1:33" ht="18" customHeight="1">
      <c r="A22" s="7"/>
      <c r="D22" s="14">
        <v>410640</v>
      </c>
      <c r="E22" s="6" t="s">
        <v>228</v>
      </c>
      <c r="F22" s="40">
        <v>103</v>
      </c>
      <c r="G22" s="6" t="s">
        <v>234</v>
      </c>
      <c r="H22" s="5">
        <v>-2474371</v>
      </c>
      <c r="I22" s="7">
        <v>0</v>
      </c>
      <c r="J22" s="7">
        <v>0</v>
      </c>
      <c r="K22" s="15">
        <f t="shared" si="1"/>
        <v>-2474371</v>
      </c>
      <c r="M22" s="345">
        <f>-ROUND(SUMIF('1.0'!$D:$D,T_IS!D22,'1.0'!$N:$N),0)</f>
        <v>0</v>
      </c>
      <c r="N22" s="7">
        <f>-ROUND(SUMIF('2.0'!$D:$D,T_IS!D22,'2.0'!$N:$N),0)</f>
        <v>0</v>
      </c>
      <c r="O22" s="7">
        <f>-ROUND(SUMIF('3.0'!$D:$D,T_IS!D22,'3.0'!$H:$H),0)</f>
        <v>0</v>
      </c>
      <c r="P22" s="7">
        <f>-ROUND(SUMIF('4.0'!$D:$D,T_IS!D22,'4.0'!$N:$N),0)</f>
        <v>0</v>
      </c>
      <c r="Q22" s="7">
        <f>-ROUND(SUMIF('5.0'!$D:$D,T_IS!D22,'5.0'!$N:$N),0)</f>
        <v>0</v>
      </c>
      <c r="R22" s="7">
        <f>-ROUND(SUMIF('6.0'!$D:$D,T_IS!D22,'6.0'!$N:$N),0)</f>
        <v>0</v>
      </c>
      <c r="S22" s="7">
        <f>-ROUND(SUMIF('7.0'!$D:$D,T_IS!D22,'7.0'!$I:$I),0)</f>
        <v>0</v>
      </c>
      <c r="T22" s="7">
        <f>-ROUND(SUMIF('8.0'!$D:$D,T_IS!F22,'8.0'!$H:$H),0)</f>
        <v>0</v>
      </c>
      <c r="U22" s="347">
        <f t="shared" si="2"/>
        <v>0</v>
      </c>
      <c r="W22" s="39">
        <f t="shared" si="3"/>
        <v>-2474371</v>
      </c>
      <c r="Y22" s="7"/>
      <c r="Z22" s="39">
        <v>-2474371</v>
      </c>
      <c r="AA22" s="7">
        <f t="shared" si="4"/>
        <v>0</v>
      </c>
      <c r="AB22" s="7"/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 ht="18" customHeight="1">
      <c r="A23" s="7"/>
      <c r="D23" s="14">
        <v>410650</v>
      </c>
      <c r="E23" s="6" t="s">
        <v>228</v>
      </c>
      <c r="F23" s="40">
        <v>103</v>
      </c>
      <c r="G23" s="6" t="s">
        <v>235</v>
      </c>
      <c r="H23" s="5">
        <v>4186277157</v>
      </c>
      <c r="I23" s="7">
        <v>0</v>
      </c>
      <c r="J23" s="7">
        <v>0</v>
      </c>
      <c r="K23" s="15">
        <f t="shared" si="1"/>
        <v>4186277157</v>
      </c>
      <c r="M23" s="345">
        <f>-ROUND(SUMIF('1.0'!$D:$D,T_IS!D23,'1.0'!$N:$N),0)</f>
        <v>0</v>
      </c>
      <c r="N23" s="7">
        <f>-ROUND(SUMIF('2.0'!$D:$D,T_IS!D23,'2.0'!$N:$N),0)</f>
        <v>0</v>
      </c>
      <c r="O23" s="7">
        <f>-ROUND(SUMIF('3.0'!$D:$D,T_IS!D23,'3.0'!$H:$H),0)</f>
        <v>0</v>
      </c>
      <c r="P23" s="7">
        <f>-ROUND(SUMIF('4.0'!$D:$D,T_IS!D23,'4.0'!$N:$N),0)</f>
        <v>0</v>
      </c>
      <c r="Q23" s="7">
        <f>-ROUND(SUMIF('5.0'!$D:$D,T_IS!D23,'5.0'!$N:$N),0)</f>
        <v>0</v>
      </c>
      <c r="R23" s="7">
        <f>-ROUND(SUMIF('6.0'!$D:$D,T_IS!D23,'6.0'!$N:$N),0)</f>
        <v>0</v>
      </c>
      <c r="S23" s="7">
        <f>-ROUND(SUMIF('7.0'!$D:$D,T_IS!D23,'7.0'!$I:$I),0)</f>
        <v>0</v>
      </c>
      <c r="T23" s="7">
        <f>-ROUND(SUMIF('8.0'!$D:$D,T_IS!F23,'8.0'!$H:$H),0)</f>
        <v>0</v>
      </c>
      <c r="U23" s="347">
        <f t="shared" si="2"/>
        <v>0</v>
      </c>
      <c r="W23" s="39">
        <f t="shared" si="3"/>
        <v>4186277157</v>
      </c>
      <c r="Y23" s="7"/>
      <c r="Z23" s="39">
        <v>4186277157</v>
      </c>
      <c r="AA23" s="7">
        <f t="shared" si="4"/>
        <v>0</v>
      </c>
      <c r="AB23" s="7"/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 ht="18" customHeight="1">
      <c r="A24" s="7"/>
      <c r="D24" s="14">
        <v>410660</v>
      </c>
      <c r="E24" s="6" t="s">
        <v>228</v>
      </c>
      <c r="F24" s="40">
        <v>103</v>
      </c>
      <c r="G24" s="6" t="s">
        <v>236</v>
      </c>
      <c r="H24" s="5">
        <v>0</v>
      </c>
      <c r="I24" s="7">
        <v>0</v>
      </c>
      <c r="J24" s="7">
        <v>0</v>
      </c>
      <c r="K24" s="15">
        <f t="shared" si="1"/>
        <v>0</v>
      </c>
      <c r="M24" s="345">
        <f>-ROUND(SUMIF('1.0'!$D:$D,T_IS!D24,'1.0'!$N:$N),0)</f>
        <v>0</v>
      </c>
      <c r="N24" s="7">
        <f>-ROUND(SUMIF('2.0'!$D:$D,T_IS!D24,'2.0'!$N:$N),0)</f>
        <v>0</v>
      </c>
      <c r="O24" s="7">
        <f>-ROUND(SUMIF('3.0'!$D:$D,T_IS!D24,'3.0'!$H:$H),0)</f>
        <v>0</v>
      </c>
      <c r="P24" s="7">
        <f>-ROUND(SUMIF('4.0'!$D:$D,T_IS!D24,'4.0'!$N:$N),0)</f>
        <v>0</v>
      </c>
      <c r="Q24" s="7">
        <f>-ROUND(SUMIF('5.0'!$D:$D,T_IS!D24,'5.0'!$N:$N),0)</f>
        <v>0</v>
      </c>
      <c r="R24" s="7">
        <f>-ROUND(SUMIF('6.0'!$D:$D,T_IS!D24,'6.0'!$N:$N),0)</f>
        <v>0</v>
      </c>
      <c r="S24" s="7">
        <f>-ROUND(SUMIF('7.0'!$D:$D,T_IS!D24,'7.0'!$I:$I),0)</f>
        <v>0</v>
      </c>
      <c r="T24" s="7">
        <f>-ROUND(SUMIF('8.0'!$D:$D,T_IS!F24,'8.0'!$H:$H),0)</f>
        <v>0</v>
      </c>
      <c r="U24" s="347">
        <f t="shared" si="2"/>
        <v>0</v>
      </c>
      <c r="W24" s="39">
        <f t="shared" si="3"/>
        <v>0</v>
      </c>
      <c r="Y24" s="7"/>
      <c r="Z24" s="39">
        <v>0</v>
      </c>
      <c r="AA24" s="7">
        <f t="shared" si="4"/>
        <v>0</v>
      </c>
      <c r="AB24" s="7"/>
      <c r="AC24" s="7">
        <v>0</v>
      </c>
      <c r="AD24" s="7">
        <v>0</v>
      </c>
      <c r="AE24" s="7">
        <v>0</v>
      </c>
      <c r="AF24" s="7">
        <v>0</v>
      </c>
      <c r="AG24" s="7">
        <v>0</v>
      </c>
    </row>
    <row r="25" spans="1:33" ht="18" customHeight="1">
      <c r="A25" s="7"/>
      <c r="D25" s="14">
        <v>410899</v>
      </c>
      <c r="E25" s="6" t="s">
        <v>228</v>
      </c>
      <c r="F25" s="40">
        <v>103</v>
      </c>
      <c r="G25" s="6" t="s">
        <v>237</v>
      </c>
      <c r="H25" s="5">
        <v>960262202</v>
      </c>
      <c r="I25" s="7">
        <v>41637088</v>
      </c>
      <c r="J25" s="7">
        <v>20092184</v>
      </c>
      <c r="K25" s="15">
        <f t="shared" si="1"/>
        <v>1021991474</v>
      </c>
      <c r="M25" s="345">
        <f>-ROUND(SUMIF('1.0'!$D:$D,T_IS!D25,'1.0'!$N:$N),0)</f>
        <v>0</v>
      </c>
      <c r="N25" s="7">
        <f>-ROUND(SUMIF('2.0'!$D:$D,T_IS!D25,'2.0'!$N:$N),0)</f>
        <v>0</v>
      </c>
      <c r="O25" s="7">
        <f>-ROUND(SUMIF('3.0'!$D:$D,T_IS!D25,'3.0'!$H:$H),0)</f>
        <v>0</v>
      </c>
      <c r="P25" s="7">
        <f>-ROUND(SUMIF('4.0'!$D:$D,T_IS!D25,'4.0'!$N:$N),0)</f>
        <v>0</v>
      </c>
      <c r="Q25" s="7">
        <f>-ROUND(SUMIF('5.0'!$D:$D,T_IS!D25,'5.0'!$N:$N),0)</f>
        <v>0</v>
      </c>
      <c r="R25" s="7">
        <f>-ROUND(SUMIF('6.0'!$D:$D,T_IS!D25,'6.0'!$N:$N),0)</f>
        <v>0</v>
      </c>
      <c r="S25" s="7">
        <f>-ROUND(SUMIF('7.0'!$D:$D,T_IS!D25,'7.0'!$I:$I),0)</f>
        <v>0</v>
      </c>
      <c r="T25" s="7">
        <f>-ROUND(SUMIF('8.0'!$D:$D,T_IS!F25,'8.0'!$H:$H),0)</f>
        <v>0</v>
      </c>
      <c r="U25" s="347">
        <f t="shared" si="2"/>
        <v>0</v>
      </c>
      <c r="W25" s="39">
        <f t="shared" si="3"/>
        <v>1021991474</v>
      </c>
      <c r="Y25" s="7"/>
      <c r="Z25" s="39">
        <v>983231141</v>
      </c>
      <c r="AA25" s="7">
        <f t="shared" si="4"/>
        <v>38760333</v>
      </c>
      <c r="AB25" s="7"/>
      <c r="AC25" s="7">
        <v>18668149</v>
      </c>
      <c r="AD25" s="7">
        <v>0</v>
      </c>
      <c r="AE25" s="7">
        <v>20092184</v>
      </c>
      <c r="AF25" s="7">
        <v>0</v>
      </c>
      <c r="AG25" s="7">
        <v>38760333</v>
      </c>
    </row>
    <row r="26" spans="1:33" ht="18" customHeight="1">
      <c r="A26" s="7"/>
      <c r="D26" s="12"/>
      <c r="E26" s="31"/>
      <c r="F26" s="286"/>
      <c r="G26" s="31" t="s">
        <v>238</v>
      </c>
      <c r="H26" s="479">
        <f>SUM(H27:H35)</f>
        <v>176380025696</v>
      </c>
      <c r="I26" s="446">
        <f>SUM(I27:I35)</f>
        <v>999630203</v>
      </c>
      <c r="J26" s="446">
        <f>SUM(J27:J35)</f>
        <v>4121098045</v>
      </c>
      <c r="K26" s="461">
        <f>SUM(K27:K35)</f>
        <v>181500753944</v>
      </c>
      <c r="M26" s="656">
        <f t="shared" ref="M26:U26" si="5">SUM(M27:M35)</f>
        <v>0</v>
      </c>
      <c r="N26" s="446">
        <f t="shared" si="5"/>
        <v>0</v>
      </c>
      <c r="O26" s="446">
        <f t="shared" si="5"/>
        <v>-323912678</v>
      </c>
      <c r="P26" s="446">
        <f t="shared" si="5"/>
        <v>28546061</v>
      </c>
      <c r="Q26" s="446">
        <f t="shared" si="5"/>
        <v>0</v>
      </c>
      <c r="R26" s="446">
        <f t="shared" si="5"/>
        <v>0</v>
      </c>
      <c r="S26" s="446">
        <f t="shared" si="5"/>
        <v>0</v>
      </c>
      <c r="T26" s="446">
        <f t="shared" si="5"/>
        <v>0</v>
      </c>
      <c r="U26" s="657">
        <f t="shared" si="5"/>
        <v>-295366617</v>
      </c>
      <c r="W26" s="33">
        <f>SUM(W27:W35)</f>
        <v>181205387327</v>
      </c>
      <c r="Y26" s="7"/>
      <c r="Z26" s="33">
        <v>181166844476</v>
      </c>
      <c r="AA26" s="7">
        <f t="shared" si="4"/>
        <v>38542851</v>
      </c>
      <c r="AB26" s="7"/>
      <c r="AC26" s="7">
        <v>151135009</v>
      </c>
      <c r="AD26" s="7">
        <v>0</v>
      </c>
      <c r="AE26" s="7">
        <v>892842</v>
      </c>
      <c r="AF26" s="7">
        <v>-113485000</v>
      </c>
      <c r="AG26" s="7">
        <v>38542851</v>
      </c>
    </row>
    <row r="27" spans="1:33" ht="18" customHeight="1">
      <c r="A27" s="7"/>
      <c r="D27" s="14" t="s">
        <v>239</v>
      </c>
      <c r="E27" s="6" t="s">
        <v>238</v>
      </c>
      <c r="F27" s="40">
        <v>201</v>
      </c>
      <c r="G27" s="6" t="s">
        <v>240</v>
      </c>
      <c r="H27" s="5">
        <v>22943956318</v>
      </c>
      <c r="I27" s="7">
        <v>39948994</v>
      </c>
      <c r="J27" s="7">
        <v>4121098045</v>
      </c>
      <c r="K27" s="15">
        <f t="shared" ref="K27:K35" si="6">SUM(H27:J27)</f>
        <v>27105003357</v>
      </c>
      <c r="M27" s="345">
        <f>ROUND(SUMIF('1.0'!$D:$D,T_IS!D27,'1.0'!$N:$N),0)</f>
        <v>0</v>
      </c>
      <c r="N27" s="7">
        <f>-ROUND(SUMIF('2.0'!$D:$D,T_IS!D27,'2.0'!$N:$N),0)</f>
        <v>0</v>
      </c>
      <c r="O27" s="7">
        <f>ROUND(SUMIF('3.0'!$D:$D,T_IS!D27,'3.0'!$H:$H),0)</f>
        <v>-101817233</v>
      </c>
      <c r="P27" s="7">
        <f>ROUND(SUMIF('4.0'!$D:$D,T_IS!D27,'4.0'!$N:$N),0)</f>
        <v>17841963</v>
      </c>
      <c r="Q27" s="7">
        <f>ROUND(SUMIF('5.0'!$D:$D,T_IS!D27,'5.0'!$N:$N),0)</f>
        <v>0</v>
      </c>
      <c r="R27" s="7">
        <f>ROUND(SUMIF('6.0'!$D:$D,T_IS!D27,'6.0'!$N:$N),0)</f>
        <v>-187060762</v>
      </c>
      <c r="S27" s="7">
        <f>ROUND(SUMIF('7.0'!$D:$D,T_IS!D27,'7.0'!$I:$I),0)</f>
        <v>0</v>
      </c>
      <c r="T27" s="7">
        <f>ROUND(SUMIF('8.0'!$D:$D,T_IS!F27,'8.0'!$H:$H),0)</f>
        <v>0</v>
      </c>
      <c r="U27" s="347">
        <f t="shared" ref="U27:U35" si="7">SUM(M27:T27)</f>
        <v>-271036032</v>
      </c>
      <c r="W27" s="39">
        <f t="shared" ref="W27:W35" si="8">U27+K27</f>
        <v>26833967325</v>
      </c>
      <c r="Y27" s="7"/>
      <c r="Z27" s="39">
        <v>26946559483</v>
      </c>
      <c r="AA27" s="7">
        <f t="shared" si="4"/>
        <v>-112592158</v>
      </c>
      <c r="AB27" s="7"/>
      <c r="AC27" s="7">
        <v>0</v>
      </c>
      <c r="AD27" s="7">
        <v>0</v>
      </c>
      <c r="AE27" s="7">
        <v>892842</v>
      </c>
      <c r="AF27" s="7">
        <v>-113485000</v>
      </c>
      <c r="AG27" s="7">
        <v>-112592158</v>
      </c>
    </row>
    <row r="28" spans="1:33" ht="18" customHeight="1">
      <c r="A28" s="7"/>
      <c r="D28" s="14" t="s">
        <v>241</v>
      </c>
      <c r="E28" s="6" t="s">
        <v>238</v>
      </c>
      <c r="F28" s="40">
        <v>202</v>
      </c>
      <c r="G28" s="6" t="s">
        <v>242</v>
      </c>
      <c r="H28" s="5">
        <v>12541430388</v>
      </c>
      <c r="I28" s="7">
        <v>959681209</v>
      </c>
      <c r="J28" s="7">
        <v>0</v>
      </c>
      <c r="K28" s="15">
        <f t="shared" si="6"/>
        <v>13501111597</v>
      </c>
      <c r="M28" s="345">
        <f>ROUND(SUMIF('1.0'!$D:$D,T_IS!D28,'1.0'!$N:$N),0)</f>
        <v>0</v>
      </c>
      <c r="N28" s="7">
        <f>-ROUND(SUMIF('2.0'!$D:$D,T_IS!D28,'2.0'!$N:$N),0)</f>
        <v>0</v>
      </c>
      <c r="O28" s="7">
        <f>ROUND(SUMIF('3.0'!$D:$D,T_IS!D28,'3.0'!$H:$H),0)</f>
        <v>-222095445</v>
      </c>
      <c r="P28" s="7">
        <f>ROUND(SUMIF('4.0'!$D:$D,T_IS!D28,'4.0'!$N:$N),0)</f>
        <v>10704098</v>
      </c>
      <c r="Q28" s="7">
        <f>ROUND(SUMIF('5.0'!$D:$D,T_IS!D28,'5.0'!$N:$N),0)</f>
        <v>0</v>
      </c>
      <c r="R28" s="7">
        <f>ROUND(SUMIF('6.0'!$D:$D,T_IS!D28,'6.0'!$N:$N),0)</f>
        <v>187060762</v>
      </c>
      <c r="S28" s="7">
        <f>ROUND(SUMIF('7.0'!$D:$D,T_IS!D28,'7.0'!$I:$I),0)</f>
        <v>0</v>
      </c>
      <c r="T28" s="7">
        <f>ROUND(SUMIF('8.0'!$D:$D,T_IS!F28,'8.0'!$H:$H),0)</f>
        <v>0</v>
      </c>
      <c r="U28" s="347">
        <f t="shared" si="7"/>
        <v>-24330585</v>
      </c>
      <c r="W28" s="39">
        <f t="shared" si="8"/>
        <v>13476781012</v>
      </c>
      <c r="Y28" s="7"/>
      <c r="Z28" s="39">
        <v>13340404605</v>
      </c>
      <c r="AA28" s="7">
        <f t="shared" si="4"/>
        <v>136376407</v>
      </c>
      <c r="AB28" s="7"/>
      <c r="AC28" s="7">
        <v>136376407</v>
      </c>
      <c r="AD28" s="7">
        <v>0</v>
      </c>
      <c r="AE28" s="7">
        <v>0</v>
      </c>
      <c r="AF28" s="7">
        <v>0</v>
      </c>
      <c r="AG28" s="7">
        <v>136376407</v>
      </c>
    </row>
    <row r="29" spans="1:33" ht="18" customHeight="1">
      <c r="A29" s="7"/>
      <c r="D29" s="658">
        <v>420510</v>
      </c>
      <c r="E29" s="6" t="s">
        <v>238</v>
      </c>
      <c r="F29" s="40">
        <v>204</v>
      </c>
      <c r="G29" s="6" t="s">
        <v>244</v>
      </c>
      <c r="H29" s="5">
        <v>57087044548</v>
      </c>
      <c r="I29" s="7">
        <v>0</v>
      </c>
      <c r="J29" s="7">
        <v>0</v>
      </c>
      <c r="K29" s="15">
        <f t="shared" si="6"/>
        <v>57087044548</v>
      </c>
      <c r="M29" s="345">
        <f>ROUND(SUMIF('1.0'!$D:$D,T_IS!D29,'1.0'!$N:$N),0)</f>
        <v>0</v>
      </c>
      <c r="N29" s="7">
        <f>-ROUND(SUMIF('2.0'!$D:$D,T_IS!D29,'2.0'!$N:$N),0)</f>
        <v>0</v>
      </c>
      <c r="O29" s="7">
        <f>ROUND(SUMIF('3.0'!$D:$D,T_IS!D29,'3.0'!$H:$H),0)</f>
        <v>0</v>
      </c>
      <c r="P29" s="7">
        <f>ROUND(SUMIF('4.0'!$D:$D,T_IS!D29,'4.0'!$N:$N),0)</f>
        <v>0</v>
      </c>
      <c r="Q29" s="7">
        <f>ROUND(SUMIF('5.0'!$D:$D,T_IS!D29,'5.0'!$N:$N),0)</f>
        <v>0</v>
      </c>
      <c r="R29" s="7">
        <f>ROUND(SUMIF('6.0'!$D:$D,T_IS!D29,'6.0'!$N:$N),0)</f>
        <v>0</v>
      </c>
      <c r="S29" s="7">
        <f>ROUND(SUMIF('7.0'!$D:$D,T_IS!D29,'7.0'!$I:$I),0)</f>
        <v>0</v>
      </c>
      <c r="T29" s="7">
        <f>ROUND(SUMIF('8.0'!$D:$D,T_IS!F29,'8.0'!$H:$H),0)</f>
        <v>0</v>
      </c>
      <c r="U29" s="347">
        <f t="shared" si="7"/>
        <v>0</v>
      </c>
      <c r="W29" s="39">
        <f t="shared" si="8"/>
        <v>57087044548</v>
      </c>
      <c r="Y29" s="7"/>
      <c r="Z29" s="39">
        <v>57087044548</v>
      </c>
      <c r="AA29" s="7">
        <f t="shared" si="4"/>
        <v>0</v>
      </c>
      <c r="AB29" s="7"/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 ht="18" customHeight="1">
      <c r="A30" s="7"/>
      <c r="D30" s="14" t="s">
        <v>245</v>
      </c>
      <c r="E30" s="6" t="s">
        <v>238</v>
      </c>
      <c r="F30" s="40">
        <v>204</v>
      </c>
      <c r="G30" s="6" t="s">
        <v>246</v>
      </c>
      <c r="H30" s="5">
        <v>3476419595</v>
      </c>
      <c r="I30" s="7">
        <v>0</v>
      </c>
      <c r="J30" s="7">
        <v>0</v>
      </c>
      <c r="K30" s="15">
        <f t="shared" si="6"/>
        <v>3476419595</v>
      </c>
      <c r="M30" s="345">
        <f>ROUND(SUMIF('1.0'!$D:$D,T_IS!D30,'1.0'!$N:$N),0)</f>
        <v>0</v>
      </c>
      <c r="N30" s="7">
        <f>-ROUND(SUMIF('2.0'!$D:$D,T_IS!D30,'2.0'!$N:$N),0)</f>
        <v>0</v>
      </c>
      <c r="O30" s="7">
        <f>ROUND(SUMIF('3.0'!$D:$D,T_IS!D30,'3.0'!$H:$H),0)</f>
        <v>0</v>
      </c>
      <c r="P30" s="7">
        <f>ROUND(SUMIF('4.0'!$D:$D,T_IS!D30,'4.0'!$N:$N),0)</f>
        <v>0</v>
      </c>
      <c r="Q30" s="7">
        <f>ROUND(SUMIF('5.0'!$D:$D,T_IS!D30,'5.0'!$N:$N),0)</f>
        <v>0</v>
      </c>
      <c r="R30" s="7">
        <f>ROUND(SUMIF('6.0'!$D:$D,T_IS!D30,'6.0'!$N:$N),0)</f>
        <v>0</v>
      </c>
      <c r="S30" s="7">
        <f>ROUND(SUMIF('7.0'!$D:$D,T_IS!D30,'7.0'!$I:$I),0)</f>
        <v>0</v>
      </c>
      <c r="T30" s="7">
        <f>ROUND(SUMIF('8.0'!$D:$D,T_IS!F30,'8.0'!$H:$H),0)</f>
        <v>0</v>
      </c>
      <c r="U30" s="347">
        <f t="shared" si="7"/>
        <v>0</v>
      </c>
      <c r="W30" s="39">
        <f t="shared" si="8"/>
        <v>3476419595</v>
      </c>
      <c r="Y30" s="7"/>
      <c r="Z30" s="39">
        <v>3476419595</v>
      </c>
      <c r="AA30" s="7">
        <f t="shared" si="4"/>
        <v>0</v>
      </c>
      <c r="AB30" s="7"/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 ht="18" customHeight="1">
      <c r="A31" s="7"/>
      <c r="D31" s="14" t="s">
        <v>247</v>
      </c>
      <c r="E31" s="6" t="s">
        <v>238</v>
      </c>
      <c r="F31" s="40">
        <v>204</v>
      </c>
      <c r="G31" s="6" t="s">
        <v>248</v>
      </c>
      <c r="H31" s="5">
        <v>76246007518</v>
      </c>
      <c r="I31" s="7">
        <v>0</v>
      </c>
      <c r="J31" s="7">
        <v>0</v>
      </c>
      <c r="K31" s="15">
        <f t="shared" si="6"/>
        <v>76246007518</v>
      </c>
      <c r="M31" s="345">
        <f>ROUND(SUMIF('1.0'!$D:$D,T_IS!D31,'1.0'!$N:$N),0)</f>
        <v>0</v>
      </c>
      <c r="N31" s="7">
        <f>-ROUND(SUMIF('2.0'!$D:$D,T_IS!D31,'2.0'!$N:$N),0)</f>
        <v>0</v>
      </c>
      <c r="O31" s="7">
        <f>ROUND(SUMIF('3.0'!$D:$D,T_IS!D31,'3.0'!$H:$H),0)</f>
        <v>0</v>
      </c>
      <c r="P31" s="7">
        <f>ROUND(SUMIF('4.0'!$D:$D,T_IS!D31,'4.0'!$N:$N),0)</f>
        <v>0</v>
      </c>
      <c r="Q31" s="7">
        <f>ROUND(SUMIF('5.0'!$D:$D,T_IS!D31,'5.0'!$N:$N),0)</f>
        <v>0</v>
      </c>
      <c r="R31" s="7">
        <f>ROUND(SUMIF('6.0'!$D:$D,T_IS!D31,'6.0'!$N:$N),0)</f>
        <v>0</v>
      </c>
      <c r="S31" s="7">
        <f>ROUND(SUMIF('7.0'!$D:$D,T_IS!D31,'7.0'!$I:$I),0)</f>
        <v>0</v>
      </c>
      <c r="T31" s="7">
        <f>ROUND(SUMIF('8.0'!$D:$D,T_IS!F31,'8.0'!$H:$H),0)</f>
        <v>0</v>
      </c>
      <c r="U31" s="347">
        <f t="shared" si="7"/>
        <v>0</v>
      </c>
      <c r="W31" s="39">
        <f t="shared" si="8"/>
        <v>76246007518</v>
      </c>
      <c r="Y31" s="7"/>
      <c r="Z31" s="39">
        <v>76246007518</v>
      </c>
      <c r="AA31" s="7">
        <f t="shared" si="4"/>
        <v>0</v>
      </c>
      <c r="AB31" s="7"/>
      <c r="AC31" s="7">
        <v>0</v>
      </c>
      <c r="AD31" s="7">
        <v>0</v>
      </c>
      <c r="AE31" s="7">
        <v>0</v>
      </c>
      <c r="AF31" s="7">
        <v>0</v>
      </c>
      <c r="AG31" s="7">
        <v>0</v>
      </c>
    </row>
    <row r="32" spans="1:33" ht="18" customHeight="1">
      <c r="A32" s="7"/>
      <c r="D32" s="14" t="s">
        <v>249</v>
      </c>
      <c r="E32" s="6" t="s">
        <v>238</v>
      </c>
      <c r="F32" s="40">
        <v>204</v>
      </c>
      <c r="G32" s="6" t="s">
        <v>250</v>
      </c>
      <c r="H32" s="5">
        <v>4</v>
      </c>
      <c r="I32" s="7">
        <v>0</v>
      </c>
      <c r="J32" s="7">
        <v>0</v>
      </c>
      <c r="K32" s="15">
        <f t="shared" si="6"/>
        <v>4</v>
      </c>
      <c r="M32" s="345">
        <f>ROUND(SUMIF('1.0'!$D:$D,T_IS!D32,'1.0'!$N:$N),0)</f>
        <v>0</v>
      </c>
      <c r="N32" s="7">
        <f>-ROUND(SUMIF('2.0'!$D:$D,T_IS!D32,'2.0'!$N:$N),0)</f>
        <v>0</v>
      </c>
      <c r="O32" s="7">
        <f>ROUND(SUMIF('3.0'!$D:$D,T_IS!D32,'3.0'!$H:$H),0)</f>
        <v>0</v>
      </c>
      <c r="P32" s="7">
        <f>ROUND(SUMIF('4.0'!$D:$D,T_IS!D32,'4.0'!$N:$N),0)</f>
        <v>0</v>
      </c>
      <c r="Q32" s="7">
        <f>ROUND(SUMIF('5.0'!$D:$D,T_IS!D32,'5.0'!$N:$N),0)</f>
        <v>0</v>
      </c>
      <c r="R32" s="7">
        <f>ROUND(SUMIF('6.0'!$D:$D,T_IS!D32,'6.0'!$N:$N),0)</f>
        <v>0</v>
      </c>
      <c r="S32" s="7">
        <f>ROUND(SUMIF('7.0'!$D:$D,T_IS!D32,'7.0'!$I:$I),0)</f>
        <v>0</v>
      </c>
      <c r="T32" s="7">
        <f>ROUND(SUMIF('8.0'!$D:$D,T_IS!F32,'8.0'!$H:$H),0)</f>
        <v>0</v>
      </c>
      <c r="U32" s="347">
        <f t="shared" si="7"/>
        <v>0</v>
      </c>
      <c r="W32" s="39">
        <f t="shared" si="8"/>
        <v>4</v>
      </c>
      <c r="Y32" s="7"/>
      <c r="Z32" s="39">
        <v>4</v>
      </c>
      <c r="AA32" s="7">
        <f t="shared" si="4"/>
        <v>0</v>
      </c>
      <c r="AB32" s="7"/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3" ht="18" customHeight="1">
      <c r="A33" s="7"/>
      <c r="D33" s="14" t="s">
        <v>251</v>
      </c>
      <c r="E33" s="6" t="s">
        <v>238</v>
      </c>
      <c r="F33" s="40">
        <v>204</v>
      </c>
      <c r="G33" s="6" t="s">
        <v>252</v>
      </c>
      <c r="H33" s="5">
        <v>3946794323</v>
      </c>
      <c r="I33" s="7">
        <v>0</v>
      </c>
      <c r="J33" s="7">
        <v>0</v>
      </c>
      <c r="K33" s="15">
        <f t="shared" si="6"/>
        <v>3946794323</v>
      </c>
      <c r="M33" s="345">
        <f>ROUND(SUMIF('1.0'!$D:$D,T_IS!D33,'1.0'!$N:$N),0)</f>
        <v>0</v>
      </c>
      <c r="N33" s="7">
        <f>-ROUND(SUMIF('2.0'!$D:$D,T_IS!D33,'2.0'!$N:$N),0)</f>
        <v>0</v>
      </c>
      <c r="O33" s="7">
        <f>ROUND(SUMIF('3.0'!$D:$D,T_IS!D33,'3.0'!$H:$H),0)</f>
        <v>0</v>
      </c>
      <c r="P33" s="7">
        <f>ROUND(SUMIF('4.0'!$D:$D,T_IS!D33,'4.0'!$N:$N),0)</f>
        <v>0</v>
      </c>
      <c r="Q33" s="7">
        <f>ROUND(SUMIF('5.0'!$D:$D,T_IS!D33,'5.0'!$N:$N),0)</f>
        <v>0</v>
      </c>
      <c r="R33" s="7">
        <f>ROUND(SUMIF('6.0'!$D:$D,T_IS!D33,'6.0'!$N:$N),0)</f>
        <v>0</v>
      </c>
      <c r="S33" s="7">
        <f>ROUND(SUMIF('7.0'!$D:$D,T_IS!D33,'7.0'!$I:$I),0)</f>
        <v>0</v>
      </c>
      <c r="T33" s="7">
        <f>ROUND(SUMIF('8.0'!$D:$D,T_IS!F33,'8.0'!$H:$H),0)</f>
        <v>0</v>
      </c>
      <c r="U33" s="347">
        <f t="shared" si="7"/>
        <v>0</v>
      </c>
      <c r="W33" s="39">
        <f t="shared" si="8"/>
        <v>3946794323</v>
      </c>
      <c r="Y33" s="7"/>
      <c r="Z33" s="39">
        <v>3946794323</v>
      </c>
      <c r="AA33" s="7">
        <f t="shared" si="4"/>
        <v>0</v>
      </c>
      <c r="AB33" s="7"/>
      <c r="AC33" s="7">
        <v>0</v>
      </c>
      <c r="AD33" s="7">
        <v>0</v>
      </c>
      <c r="AE33" s="7">
        <v>0</v>
      </c>
      <c r="AF33" s="7">
        <v>0</v>
      </c>
      <c r="AG33" s="7">
        <v>0</v>
      </c>
    </row>
    <row r="34" spans="1:33" ht="18" customHeight="1">
      <c r="A34" s="7"/>
      <c r="D34" s="14" t="s">
        <v>253</v>
      </c>
      <c r="E34" s="6" t="s">
        <v>238</v>
      </c>
      <c r="F34" s="40">
        <v>204</v>
      </c>
      <c r="G34" s="6" t="s">
        <v>254</v>
      </c>
      <c r="H34" s="5">
        <v>0</v>
      </c>
      <c r="I34" s="7">
        <v>0</v>
      </c>
      <c r="J34" s="7">
        <v>0</v>
      </c>
      <c r="K34" s="15">
        <f t="shared" si="6"/>
        <v>0</v>
      </c>
      <c r="M34" s="345">
        <f>ROUND(SUMIF('1.0'!$D:$D,T_IS!D34,'1.0'!$N:$N),0)</f>
        <v>0</v>
      </c>
      <c r="N34" s="7">
        <f>-ROUND(SUMIF('2.0'!$D:$D,T_IS!D34,'2.0'!$N:$N),0)</f>
        <v>0</v>
      </c>
      <c r="O34" s="7">
        <f>ROUND(SUMIF('3.0'!$D:$D,T_IS!D34,'3.0'!$H:$H),0)</f>
        <v>0</v>
      </c>
      <c r="P34" s="7">
        <f>ROUND(SUMIF('4.0'!$D:$D,T_IS!D34,'4.0'!$N:$N),0)</f>
        <v>0</v>
      </c>
      <c r="Q34" s="7">
        <f>ROUND(SUMIF('5.0'!$D:$D,T_IS!D34,'5.0'!$N:$N),0)</f>
        <v>0</v>
      </c>
      <c r="R34" s="7">
        <f>ROUND(SUMIF('6.0'!$D:$D,T_IS!D34,'6.0'!$N:$N),0)</f>
        <v>0</v>
      </c>
      <c r="S34" s="7">
        <f>ROUND(SUMIF('7.0'!$D:$D,T_IS!D34,'7.0'!$I:$I),0)</f>
        <v>0</v>
      </c>
      <c r="T34" s="7">
        <f>ROUND(SUMIF('8.0'!$D:$D,T_IS!F34,'8.0'!$H:$H),0)</f>
        <v>0</v>
      </c>
      <c r="U34" s="347">
        <f t="shared" si="7"/>
        <v>0</v>
      </c>
      <c r="W34" s="39">
        <f t="shared" si="8"/>
        <v>0</v>
      </c>
      <c r="Y34" s="7"/>
      <c r="Z34" s="39">
        <v>0</v>
      </c>
      <c r="AA34" s="7">
        <f t="shared" si="4"/>
        <v>0</v>
      </c>
      <c r="AB34" s="7"/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 ht="18" customHeight="1">
      <c r="A35" s="7"/>
      <c r="D35" s="14" t="s">
        <v>255</v>
      </c>
      <c r="E35" s="6" t="s">
        <v>238</v>
      </c>
      <c r="F35" s="40">
        <v>204</v>
      </c>
      <c r="G35" s="6" t="s">
        <v>256</v>
      </c>
      <c r="H35" s="5">
        <v>138373002</v>
      </c>
      <c r="I35" s="7">
        <v>0</v>
      </c>
      <c r="J35" s="7">
        <v>0</v>
      </c>
      <c r="K35" s="15">
        <f t="shared" si="6"/>
        <v>138373002</v>
      </c>
      <c r="M35" s="345">
        <f>ROUND(SUMIF('1.0'!$D:$D,T_IS!D35,'1.0'!$N:$N),0)</f>
        <v>0</v>
      </c>
      <c r="N35" s="7">
        <f>-ROUND(SUMIF('2.0'!$D:$D,T_IS!D35,'2.0'!$N:$N),0)</f>
        <v>0</v>
      </c>
      <c r="O35" s="7">
        <f>ROUND(SUMIF('3.0'!$D:$D,T_IS!D35,'3.0'!$H:$H),0)</f>
        <v>0</v>
      </c>
      <c r="P35" s="7">
        <f>ROUND(SUMIF('4.0'!$D:$D,T_IS!D35,'4.0'!$N:$N),0)</f>
        <v>0</v>
      </c>
      <c r="Q35" s="7">
        <f>ROUND(SUMIF('5.0'!$D:$D,T_IS!D35,'5.0'!$N:$N),0)</f>
        <v>0</v>
      </c>
      <c r="R35" s="7">
        <f>ROUND(SUMIF('6.0'!$D:$D,T_IS!D35,'6.0'!$N:$N),0)</f>
        <v>0</v>
      </c>
      <c r="S35" s="7">
        <f>ROUND(SUMIF('7.0'!$D:$D,T_IS!D35,'7.0'!$I:$I),0)</f>
        <v>0</v>
      </c>
      <c r="T35" s="7">
        <f>ROUND(SUMIF('8.0'!$D:$D,T_IS!F35,'8.0'!$H:$H),0)</f>
        <v>0</v>
      </c>
      <c r="U35" s="347">
        <f t="shared" si="7"/>
        <v>0</v>
      </c>
      <c r="W35" s="39">
        <f t="shared" si="8"/>
        <v>138373002</v>
      </c>
      <c r="Y35" s="7"/>
      <c r="Z35" s="39">
        <v>123614400</v>
      </c>
      <c r="AA35" s="7">
        <f t="shared" si="4"/>
        <v>14758602</v>
      </c>
      <c r="AB35" s="7"/>
      <c r="AC35" s="7">
        <v>14758602</v>
      </c>
      <c r="AD35" s="7">
        <v>0</v>
      </c>
      <c r="AE35" s="7">
        <v>0</v>
      </c>
      <c r="AF35" s="7">
        <v>0</v>
      </c>
      <c r="AG35" s="7">
        <v>14758602</v>
      </c>
    </row>
    <row r="36" spans="1:33" ht="18" customHeight="1">
      <c r="A36" s="7"/>
      <c r="D36" s="12"/>
      <c r="E36" s="31"/>
      <c r="F36" s="286"/>
      <c r="G36" s="31" t="s">
        <v>257</v>
      </c>
      <c r="H36" s="479">
        <f>H6-H26</f>
        <v>45435284148</v>
      </c>
      <c r="I36" s="446">
        <f>I6-I26</f>
        <v>-823544818</v>
      </c>
      <c r="J36" s="446">
        <f>J6-J26</f>
        <v>540491627</v>
      </c>
      <c r="K36" s="461">
        <f>K6-K26</f>
        <v>45152230957</v>
      </c>
      <c r="M36" s="656">
        <f t="shared" ref="M36:U36" si="9">M6-M26</f>
        <v>0</v>
      </c>
      <c r="N36" s="446">
        <f t="shared" si="9"/>
        <v>0</v>
      </c>
      <c r="O36" s="446">
        <f t="shared" si="9"/>
        <v>0</v>
      </c>
      <c r="P36" s="446">
        <f t="shared" si="9"/>
        <v>-28546061</v>
      </c>
      <c r="Q36" s="446">
        <f t="shared" si="9"/>
        <v>0</v>
      </c>
      <c r="R36" s="446">
        <f t="shared" si="9"/>
        <v>0</v>
      </c>
      <c r="S36" s="446">
        <f t="shared" si="9"/>
        <v>0</v>
      </c>
      <c r="T36" s="446">
        <f t="shared" si="9"/>
        <v>0</v>
      </c>
      <c r="U36" s="657">
        <f t="shared" si="9"/>
        <v>-28546061</v>
      </c>
      <c r="W36" s="33">
        <f>W6-W26</f>
        <v>45123684896</v>
      </c>
      <c r="Y36" s="7"/>
      <c r="Z36" s="33">
        <v>44762894540</v>
      </c>
      <c r="AA36" s="7">
        <f t="shared" si="4"/>
        <v>360790356</v>
      </c>
      <c r="AB36" s="7"/>
      <c r="AC36" s="7">
        <v>-194251851</v>
      </c>
      <c r="AD36" s="7">
        <v>422357865</v>
      </c>
      <c r="AE36" s="7">
        <v>19199342</v>
      </c>
      <c r="AF36" s="7">
        <v>113485000</v>
      </c>
      <c r="AG36" s="7">
        <v>360790356</v>
      </c>
    </row>
    <row r="37" spans="1:33" ht="18" customHeight="1">
      <c r="A37" s="7"/>
      <c r="D37" s="12"/>
      <c r="E37" s="31"/>
      <c r="F37" s="286"/>
      <c r="G37" s="31" t="s">
        <v>258</v>
      </c>
      <c r="H37" s="479">
        <f>SUM(H38:H74)</f>
        <v>54124177391</v>
      </c>
      <c r="I37" s="446">
        <f>SUM(I38:I74)</f>
        <v>589012154</v>
      </c>
      <c r="J37" s="446">
        <f>SUM(J38:J74)</f>
        <v>1579548151</v>
      </c>
      <c r="K37" s="461">
        <f>SUM(K38:K74)</f>
        <v>56292737696</v>
      </c>
      <c r="M37" s="656">
        <f t="shared" ref="M37:U37" si="10">SUM(M38:M74)</f>
        <v>0</v>
      </c>
      <c r="N37" s="446">
        <f t="shared" si="10"/>
        <v>0</v>
      </c>
      <c r="O37" s="446">
        <f t="shared" si="10"/>
        <v>0</v>
      </c>
      <c r="P37" s="446">
        <f t="shared" si="10"/>
        <v>0</v>
      </c>
      <c r="Q37" s="446">
        <f t="shared" si="10"/>
        <v>719869189</v>
      </c>
      <c r="R37" s="446">
        <f t="shared" si="10"/>
        <v>0</v>
      </c>
      <c r="S37" s="446">
        <f t="shared" si="10"/>
        <v>0</v>
      </c>
      <c r="T37" s="446">
        <f t="shared" si="10"/>
        <v>0</v>
      </c>
      <c r="U37" s="657">
        <f t="shared" si="10"/>
        <v>719869189</v>
      </c>
      <c r="W37" s="33">
        <f>SUM(W38:W74)</f>
        <v>57012606885</v>
      </c>
      <c r="Y37" s="7"/>
      <c r="Z37" s="33">
        <v>55872689636</v>
      </c>
      <c r="AA37" s="7">
        <f t="shared" si="4"/>
        <v>1139917249</v>
      </c>
      <c r="AB37" s="7"/>
      <c r="AC37" s="7">
        <v>91116208</v>
      </c>
      <c r="AD37" s="7">
        <v>422844153</v>
      </c>
      <c r="AE37" s="7">
        <v>93956888</v>
      </c>
      <c r="AF37" s="7">
        <v>0</v>
      </c>
      <c r="AG37" s="7">
        <v>607917249</v>
      </c>
    </row>
    <row r="38" spans="1:33" ht="18" customHeight="1">
      <c r="A38" s="7"/>
      <c r="D38" s="14" t="s">
        <v>259</v>
      </c>
      <c r="E38" s="6" t="s">
        <v>258</v>
      </c>
      <c r="F38" s="40">
        <v>301</v>
      </c>
      <c r="G38" s="6" t="s">
        <v>260</v>
      </c>
      <c r="H38" s="5">
        <v>15250059594</v>
      </c>
      <c r="I38" s="7">
        <v>302659272</v>
      </c>
      <c r="J38" s="7">
        <v>409475776</v>
      </c>
      <c r="K38" s="15">
        <f t="shared" ref="K38:K74" si="11">SUM(H38:J38)</f>
        <v>15962194642</v>
      </c>
      <c r="M38" s="345">
        <f>ROUND(SUMIF('1.0'!$D:$D,T_IS!D38,'1.0'!$N:$N),0)</f>
        <v>0</v>
      </c>
      <c r="N38" s="7">
        <f>ROUND(SUMIF('2.0'!$D:$D,T_IS!D38,'2.0'!$N:$N),0)</f>
        <v>0</v>
      </c>
      <c r="O38" s="7">
        <f>ROUND(SUMIF('3.0'!$D:$D,T_IS!D38,'3.0'!$H:$H),0)</f>
        <v>0</v>
      </c>
      <c r="P38" s="7">
        <f>ROUND(SUMIF('4.0'!$D:$D,T_IS!D38,'4.0'!$N:$N),0)</f>
        <v>0</v>
      </c>
      <c r="Q38" s="7">
        <f>ROUND(SUMIF('5.0'!$D:$D,T_IS!D38,'5.0'!$N:$N),0)</f>
        <v>0</v>
      </c>
      <c r="R38" s="7">
        <f>ROUND(SUMIF('6.0'!$D:$D,T_IS!D38,'6.0'!$N:$N),0)</f>
        <v>0</v>
      </c>
      <c r="S38" s="7">
        <f>ROUND(SUMIF('7.0'!$D:$D,T_IS!D38,'7.0'!$I:$I),0)</f>
        <v>0</v>
      </c>
      <c r="T38" s="7">
        <f>ROUND(SUMIF('8.0'!$D:$D,T_IS!F38,'8.0'!$H:$H),0)</f>
        <v>0</v>
      </c>
      <c r="U38" s="347">
        <f t="shared" ref="U38:U74" si="12">SUM(M38:T38)</f>
        <v>0</v>
      </c>
      <c r="W38" s="39">
        <f t="shared" ref="W38:W74" si="13">U38+K38</f>
        <v>15962194642</v>
      </c>
      <c r="Y38" s="7"/>
      <c r="Z38" s="39">
        <v>15367592598</v>
      </c>
      <c r="AA38" s="7">
        <f t="shared" si="4"/>
        <v>594602044</v>
      </c>
      <c r="AB38" s="7"/>
      <c r="AC38" s="7">
        <v>58561400</v>
      </c>
      <c r="AD38" s="7">
        <v>0</v>
      </c>
      <c r="AE38" s="7">
        <v>4040644</v>
      </c>
      <c r="AF38" s="7">
        <v>0</v>
      </c>
      <c r="AG38" s="7">
        <v>62602044</v>
      </c>
    </row>
    <row r="39" spans="1:33" ht="18" customHeight="1">
      <c r="A39" s="7"/>
      <c r="D39" s="14" t="s">
        <v>261</v>
      </c>
      <c r="E39" s="6" t="s">
        <v>258</v>
      </c>
      <c r="F39" s="40">
        <v>302</v>
      </c>
      <c r="G39" s="6" t="s">
        <v>262</v>
      </c>
      <c r="H39" s="5">
        <v>1661439528</v>
      </c>
      <c r="I39" s="7">
        <v>35495175</v>
      </c>
      <c r="J39" s="7">
        <v>19963101</v>
      </c>
      <c r="K39" s="15">
        <f t="shared" si="11"/>
        <v>1716897804</v>
      </c>
      <c r="M39" s="345">
        <f>ROUND(SUMIF('1.0'!$D:$D,T_IS!D39,'1.0'!$N:$N),0)</f>
        <v>0</v>
      </c>
      <c r="N39" s="7">
        <f>ROUND(SUMIF('2.0'!$D:$D,T_IS!D39,'2.0'!$N:$N),0)</f>
        <v>0</v>
      </c>
      <c r="O39" s="7">
        <f>ROUND(SUMIF('3.0'!$D:$D,T_IS!D39,'3.0'!$H:$H),0)</f>
        <v>0</v>
      </c>
      <c r="P39" s="7">
        <f>ROUND(SUMIF('4.0'!$D:$D,T_IS!D39,'4.0'!$N:$N),0)</f>
        <v>0</v>
      </c>
      <c r="Q39" s="7">
        <f>ROUND(SUMIF('5.0'!$D:$D,T_IS!D39,'5.0'!$N:$N),0)</f>
        <v>0</v>
      </c>
      <c r="R39" s="7">
        <f>ROUND(SUMIF('6.0'!$D:$D,T_IS!D39,'6.0'!$N:$N),0)</f>
        <v>0</v>
      </c>
      <c r="S39" s="7">
        <f>ROUND(SUMIF('7.0'!$D:$D,T_IS!D39,'7.0'!$I:$I),0)</f>
        <v>0</v>
      </c>
      <c r="T39" s="7">
        <f>ROUND(SUMIF('8.0'!$D:$D,T_IS!F39,'8.0'!$H:$H),0)</f>
        <v>0</v>
      </c>
      <c r="U39" s="347">
        <f t="shared" si="12"/>
        <v>0</v>
      </c>
      <c r="W39" s="39">
        <f t="shared" si="13"/>
        <v>1716897804</v>
      </c>
      <c r="Y39" s="7"/>
      <c r="Z39" s="39">
        <v>1716897804</v>
      </c>
      <c r="AA39" s="7">
        <f t="shared" si="4"/>
        <v>0</v>
      </c>
      <c r="AB39" s="7"/>
      <c r="AC39" s="7">
        <v>0</v>
      </c>
      <c r="AD39" s="7">
        <v>0</v>
      </c>
      <c r="AE39" s="7">
        <v>0</v>
      </c>
      <c r="AF39" s="7">
        <v>0</v>
      </c>
      <c r="AG39" s="7">
        <v>0</v>
      </c>
    </row>
    <row r="40" spans="1:33" ht="18" customHeight="1">
      <c r="A40" s="7"/>
      <c r="D40" s="14" t="s">
        <v>1601</v>
      </c>
      <c r="E40" s="6" t="s">
        <v>258</v>
      </c>
      <c r="F40" s="40">
        <v>303</v>
      </c>
      <c r="G40" s="6" t="s">
        <v>760</v>
      </c>
      <c r="H40" s="5">
        <v>624260187</v>
      </c>
      <c r="I40" s="7">
        <v>0</v>
      </c>
      <c r="J40" s="7">
        <v>0</v>
      </c>
      <c r="K40" s="15">
        <f t="shared" si="11"/>
        <v>624260187</v>
      </c>
      <c r="M40" s="345"/>
      <c r="N40" s="7">
        <f>ROUND(SUMIF('2.0'!$D:$D,T_IS!D40,'2.0'!$N:$N),0)</f>
        <v>0</v>
      </c>
      <c r="O40" s="7">
        <f>ROUND(SUMIF('3.0'!$D:$D,T_IS!D40,'3.0'!$H:$H),0)</f>
        <v>0</v>
      </c>
      <c r="P40" s="7">
        <f>ROUND(SUMIF('4.0'!$D:$D,T_IS!D40,'4.0'!$N:$N),0)</f>
        <v>0</v>
      </c>
      <c r="Q40" s="7">
        <f>ROUND(SUMIF('5.0'!$D:$D,T_IS!D40,'5.0'!$N:$N),0)</f>
        <v>0</v>
      </c>
      <c r="R40" s="7"/>
      <c r="S40" s="7"/>
      <c r="T40" s="7">
        <f>ROUND(SUMIF('8.0'!$D:$D,T_IS!F40,'8.0'!$H:$H),0)</f>
        <v>0</v>
      </c>
      <c r="U40" s="347">
        <f t="shared" si="12"/>
        <v>0</v>
      </c>
      <c r="W40" s="39">
        <f t="shared" si="13"/>
        <v>624260187</v>
      </c>
      <c r="Y40" s="7"/>
      <c r="Z40" s="39">
        <v>624260187</v>
      </c>
      <c r="AA40" s="7">
        <f t="shared" si="4"/>
        <v>0</v>
      </c>
      <c r="AB40" s="7"/>
      <c r="AC40" s="7">
        <v>0</v>
      </c>
      <c r="AD40" s="7">
        <v>0</v>
      </c>
      <c r="AE40" s="7">
        <v>0</v>
      </c>
      <c r="AF40" s="7">
        <v>0</v>
      </c>
      <c r="AG40" s="7">
        <v>0</v>
      </c>
    </row>
    <row r="41" spans="1:33" ht="18" customHeight="1">
      <c r="A41" s="7"/>
      <c r="D41" s="14" t="s">
        <v>263</v>
      </c>
      <c r="E41" s="6" t="s">
        <v>258</v>
      </c>
      <c r="F41" s="40">
        <v>304</v>
      </c>
      <c r="G41" s="6" t="s">
        <v>264</v>
      </c>
      <c r="H41" s="5">
        <v>3214245453</v>
      </c>
      <c r="I41" s="7">
        <v>53462277</v>
      </c>
      <c r="J41" s="7">
        <v>112349771</v>
      </c>
      <c r="K41" s="15">
        <f t="shared" si="11"/>
        <v>3380057501</v>
      </c>
      <c r="M41" s="345">
        <f>ROUND(SUMIF('1.0'!$D:$D,T_IS!D41,'1.0'!$N:$N),0)</f>
        <v>0</v>
      </c>
      <c r="N41" s="7">
        <f>ROUND(SUMIF('2.0'!$D:$D,T_IS!D41,'2.0'!$N:$N),0)</f>
        <v>0</v>
      </c>
      <c r="O41" s="7">
        <f>ROUND(SUMIF('3.0'!$D:$D,T_IS!D41,'3.0'!$H:$H),0)</f>
        <v>0</v>
      </c>
      <c r="P41" s="7">
        <f>ROUND(SUMIF('4.0'!$D:$D,T_IS!D41,'4.0'!$N:$N),0)</f>
        <v>0</v>
      </c>
      <c r="Q41" s="7">
        <f>ROUND(SUMIF('5.0'!$D:$D,T_IS!D41,'5.0'!$N:$N),0)</f>
        <v>0</v>
      </c>
      <c r="R41" s="7">
        <f>ROUND(SUMIF('6.0'!$D:$D,T_IS!D41,'6.0'!$N:$N),0)</f>
        <v>-12629042</v>
      </c>
      <c r="S41" s="7">
        <f>ROUND(SUMIF('7.0'!$D:$D,T_IS!D41,'7.0'!$I:$I),0)</f>
        <v>0</v>
      </c>
      <c r="T41" s="7">
        <f>ROUND(SUMIF('8.0'!$D:$D,T_IS!F41,'8.0'!$H:$H),0)</f>
        <v>0</v>
      </c>
      <c r="U41" s="347">
        <f t="shared" si="12"/>
        <v>-12629042</v>
      </c>
      <c r="W41" s="39">
        <f t="shared" si="13"/>
        <v>3367428459</v>
      </c>
      <c r="Y41" s="7"/>
      <c r="Z41" s="39">
        <v>3367439853</v>
      </c>
      <c r="AA41" s="7">
        <f t="shared" si="4"/>
        <v>-11394</v>
      </c>
      <c r="AB41" s="7"/>
      <c r="AC41" s="7">
        <v>440524</v>
      </c>
      <c r="AD41" s="7">
        <v>0</v>
      </c>
      <c r="AE41" s="7">
        <v>-451918</v>
      </c>
      <c r="AF41" s="7">
        <v>0</v>
      </c>
      <c r="AG41" s="7">
        <v>-11394</v>
      </c>
    </row>
    <row r="42" spans="1:33" ht="18" customHeight="1">
      <c r="A42" s="7"/>
      <c r="D42" s="14" t="s">
        <v>265</v>
      </c>
      <c r="E42" s="6" t="s">
        <v>258</v>
      </c>
      <c r="F42" s="40">
        <v>305</v>
      </c>
      <c r="G42" s="6" t="s">
        <v>266</v>
      </c>
      <c r="H42" s="5">
        <v>108315815</v>
      </c>
      <c r="I42" s="7">
        <v>23653840</v>
      </c>
      <c r="J42" s="7">
        <v>28831243</v>
      </c>
      <c r="K42" s="15">
        <f t="shared" si="11"/>
        <v>160800898</v>
      </c>
      <c r="M42" s="345">
        <f>ROUND(SUMIF('1.0'!$D:$D,T_IS!D42,'1.0'!$N:$N),0)</f>
        <v>0</v>
      </c>
      <c r="N42" s="7">
        <f>ROUND(SUMIF('2.0'!$D:$D,T_IS!D42,'2.0'!$N:$N),0)</f>
        <v>0</v>
      </c>
      <c r="O42" s="7">
        <f>ROUND(SUMIF('3.0'!$D:$D,T_IS!D42,'3.0'!$H:$H),0)</f>
        <v>0</v>
      </c>
      <c r="P42" s="7">
        <f>ROUND(SUMIF('4.0'!$D:$D,T_IS!D42,'4.0'!$N:$N),0)</f>
        <v>0</v>
      </c>
      <c r="Q42" s="7">
        <f>ROUND(SUMIF('5.0'!$D:$D,T_IS!D42,'5.0'!$N:$N),0)</f>
        <v>0</v>
      </c>
      <c r="R42" s="7">
        <f>ROUND(SUMIF('6.0'!$D:$D,T_IS!D42,'6.0'!$N:$N),0)</f>
        <v>0</v>
      </c>
      <c r="S42" s="7">
        <f>ROUND(SUMIF('7.0'!$D:$D,T_IS!D42,'7.0'!$I:$I),0)</f>
        <v>0</v>
      </c>
      <c r="T42" s="7">
        <f>ROUND(SUMIF('8.0'!$D:$D,T_IS!F42,'8.0'!$H:$H),0)</f>
        <v>0</v>
      </c>
      <c r="U42" s="347">
        <f t="shared" si="12"/>
        <v>0</v>
      </c>
      <c r="W42" s="39">
        <f t="shared" si="13"/>
        <v>160800898</v>
      </c>
      <c r="Y42" s="7"/>
      <c r="Z42" s="39">
        <v>193746265</v>
      </c>
      <c r="AA42" s="7">
        <f t="shared" si="4"/>
        <v>-32945367</v>
      </c>
      <c r="AB42" s="7"/>
      <c r="AC42" s="7">
        <v>0</v>
      </c>
      <c r="AD42" s="7">
        <v>-32971889</v>
      </c>
      <c r="AE42" s="7">
        <v>26522</v>
      </c>
      <c r="AF42" s="7">
        <v>0</v>
      </c>
      <c r="AG42" s="7">
        <v>-32945367</v>
      </c>
    </row>
    <row r="43" spans="1:33" ht="18" customHeight="1">
      <c r="A43" s="7"/>
      <c r="D43" s="14" t="s">
        <v>267</v>
      </c>
      <c r="E43" s="6" t="s">
        <v>258</v>
      </c>
      <c r="F43" s="40">
        <v>306</v>
      </c>
      <c r="G43" s="6" t="s">
        <v>268</v>
      </c>
      <c r="H43" s="5">
        <v>44466871</v>
      </c>
      <c r="I43" s="7">
        <v>0</v>
      </c>
      <c r="J43" s="7">
        <v>30275835</v>
      </c>
      <c r="K43" s="15">
        <f t="shared" si="11"/>
        <v>74742706</v>
      </c>
      <c r="M43" s="345">
        <f>ROUND(SUMIF('1.0'!$D:$D,T_IS!D43,'1.0'!$N:$N),0)</f>
        <v>0</v>
      </c>
      <c r="N43" s="7">
        <f>ROUND(SUMIF('2.0'!$D:$D,T_IS!D43,'2.0'!$N:$N),0)</f>
        <v>0</v>
      </c>
      <c r="O43" s="7">
        <f>ROUND(SUMIF('3.0'!$D:$D,T_IS!D43,'3.0'!$H:$H),0)</f>
        <v>0</v>
      </c>
      <c r="P43" s="7">
        <f>ROUND(SUMIF('4.0'!$D:$D,T_IS!D43,'4.0'!$N:$N),0)</f>
        <v>0</v>
      </c>
      <c r="Q43" s="7">
        <f>ROUND(SUMIF('5.0'!$D:$D,T_IS!D43,'5.0'!$N:$N),0)</f>
        <v>0</v>
      </c>
      <c r="R43" s="7">
        <f>ROUND(SUMIF('6.0'!$D:$D,T_IS!D43,'6.0'!$N:$N),0)</f>
        <v>0</v>
      </c>
      <c r="S43" s="7">
        <f>ROUND(SUMIF('7.0'!$D:$D,T_IS!D43,'7.0'!$I:$I),0)</f>
        <v>0</v>
      </c>
      <c r="T43" s="7">
        <f>ROUND(SUMIF('8.0'!$D:$D,T_IS!F43,'8.0'!$H:$H),0)</f>
        <v>0</v>
      </c>
      <c r="U43" s="347">
        <f t="shared" si="12"/>
        <v>0</v>
      </c>
      <c r="W43" s="39">
        <f t="shared" si="13"/>
        <v>74742706</v>
      </c>
      <c r="Y43" s="7"/>
      <c r="Z43" s="39">
        <v>74742706</v>
      </c>
      <c r="AA43" s="7">
        <f t="shared" si="4"/>
        <v>0</v>
      </c>
      <c r="AB43" s="7"/>
      <c r="AC43" s="7">
        <v>0</v>
      </c>
      <c r="AD43" s="7">
        <v>0</v>
      </c>
      <c r="AE43" s="7">
        <v>0</v>
      </c>
      <c r="AF43" s="7">
        <v>0</v>
      </c>
      <c r="AG43" s="7">
        <v>0</v>
      </c>
    </row>
    <row r="44" spans="1:33" ht="18" customHeight="1">
      <c r="A44" s="7"/>
      <c r="D44" s="14" t="s">
        <v>269</v>
      </c>
      <c r="E44" s="6" t="s">
        <v>258</v>
      </c>
      <c r="F44" s="40">
        <v>307</v>
      </c>
      <c r="G44" s="6" t="s">
        <v>270</v>
      </c>
      <c r="H44" s="5">
        <v>270102619</v>
      </c>
      <c r="I44" s="7">
        <v>17058512</v>
      </c>
      <c r="J44" s="7">
        <v>17639094</v>
      </c>
      <c r="K44" s="15">
        <f t="shared" si="11"/>
        <v>304800225</v>
      </c>
      <c r="M44" s="345">
        <f>ROUND(SUMIF('1.0'!$D:$D,T_IS!D44,'1.0'!$N:$N),0)</f>
        <v>0</v>
      </c>
      <c r="N44" s="7">
        <f>ROUND(SUMIF('2.0'!$D:$D,T_IS!D44,'2.0'!$N:$N),0)</f>
        <v>0</v>
      </c>
      <c r="O44" s="7">
        <f>ROUND(SUMIF('3.0'!$D:$D,T_IS!D44,'3.0'!$H:$H),0)</f>
        <v>0</v>
      </c>
      <c r="P44" s="7">
        <f>ROUND(SUMIF('4.0'!$D:$D,T_IS!D44,'4.0'!$N:$N),0)</f>
        <v>0</v>
      </c>
      <c r="Q44" s="7">
        <f>ROUND(SUMIF('5.0'!$D:$D,T_IS!D44,'5.0'!$N:$N),0)</f>
        <v>0</v>
      </c>
      <c r="R44" s="7">
        <f>ROUND(SUMIF('6.0'!$D:$D,T_IS!D44,'6.0'!$N:$N),0)</f>
        <v>-42855444</v>
      </c>
      <c r="S44" s="7">
        <f>ROUND(SUMIF('7.0'!$D:$D,T_IS!D44,'7.0'!$I:$I),0)</f>
        <v>0</v>
      </c>
      <c r="T44" s="7">
        <f>ROUND(SUMIF('8.0'!$D:$D,T_IS!F44,'8.0'!$H:$H),0)</f>
        <v>0</v>
      </c>
      <c r="U44" s="347">
        <f t="shared" si="12"/>
        <v>-42855444</v>
      </c>
      <c r="W44" s="39">
        <f t="shared" si="13"/>
        <v>261944781</v>
      </c>
      <c r="Y44" s="7"/>
      <c r="Z44" s="39">
        <v>261944781</v>
      </c>
      <c r="AA44" s="7">
        <f t="shared" si="4"/>
        <v>0</v>
      </c>
      <c r="AB44" s="7"/>
      <c r="AC44" s="7">
        <v>0</v>
      </c>
      <c r="AD44" s="7">
        <v>0</v>
      </c>
      <c r="AE44" s="7">
        <v>0</v>
      </c>
      <c r="AF44" s="7">
        <v>0</v>
      </c>
      <c r="AG44" s="7">
        <v>0</v>
      </c>
    </row>
    <row r="45" spans="1:33" ht="18" customHeight="1">
      <c r="A45" s="7"/>
      <c r="D45" s="14" t="s">
        <v>271</v>
      </c>
      <c r="E45" s="6" t="s">
        <v>258</v>
      </c>
      <c r="F45" s="40">
        <v>308</v>
      </c>
      <c r="G45" s="6" t="s">
        <v>272</v>
      </c>
      <c r="H45" s="5">
        <v>68561044</v>
      </c>
      <c r="I45" s="7">
        <v>1445126</v>
      </c>
      <c r="J45" s="7">
        <v>1620629</v>
      </c>
      <c r="K45" s="15">
        <f t="shared" si="11"/>
        <v>71626799</v>
      </c>
      <c r="M45" s="345">
        <f>ROUND(SUMIF('1.0'!$D:$D,T_IS!D45,'1.0'!$N:$N),0)</f>
        <v>0</v>
      </c>
      <c r="N45" s="7">
        <f>ROUND(SUMIF('2.0'!$D:$D,T_IS!D45,'2.0'!$N:$N),0)</f>
        <v>0</v>
      </c>
      <c r="O45" s="7">
        <f>ROUND(SUMIF('3.0'!$D:$D,T_IS!D45,'3.0'!$H:$H),0)</f>
        <v>0</v>
      </c>
      <c r="P45" s="7">
        <f>ROUND(SUMIF('4.0'!$D:$D,T_IS!D45,'4.0'!$N:$N),0)</f>
        <v>0</v>
      </c>
      <c r="Q45" s="7">
        <f>ROUND(SUMIF('5.0'!$D:$D,T_IS!D45,'5.0'!$N:$N),0)</f>
        <v>0</v>
      </c>
      <c r="R45" s="7">
        <f>ROUND(SUMIF('6.0'!$D:$D,T_IS!D45,'6.0'!$N:$N),0)</f>
        <v>0</v>
      </c>
      <c r="S45" s="7">
        <f>ROUND(SUMIF('7.0'!$D:$D,T_IS!D45,'7.0'!$I:$I),0)</f>
        <v>0</v>
      </c>
      <c r="T45" s="7">
        <f>ROUND(SUMIF('8.0'!$D:$D,T_IS!F45,'8.0'!$H:$H),0)</f>
        <v>0</v>
      </c>
      <c r="U45" s="347">
        <f t="shared" si="12"/>
        <v>0</v>
      </c>
      <c r="W45" s="39">
        <f t="shared" si="13"/>
        <v>71626799</v>
      </c>
      <c r="Y45" s="7"/>
      <c r="Z45" s="39">
        <v>71626799</v>
      </c>
      <c r="AA45" s="7">
        <f t="shared" si="4"/>
        <v>0</v>
      </c>
      <c r="AB45" s="7"/>
      <c r="AC45" s="7">
        <v>0</v>
      </c>
      <c r="AD45" s="7">
        <v>0</v>
      </c>
      <c r="AE45" s="7">
        <v>0</v>
      </c>
      <c r="AF45" s="7">
        <v>0</v>
      </c>
      <c r="AG45" s="7">
        <v>0</v>
      </c>
    </row>
    <row r="46" spans="1:33" ht="18" customHeight="1">
      <c r="A46" s="7"/>
      <c r="D46" s="14" t="s">
        <v>273</v>
      </c>
      <c r="E46" s="6" t="s">
        <v>258</v>
      </c>
      <c r="F46" s="40">
        <v>309</v>
      </c>
      <c r="G46" s="6" t="s">
        <v>274</v>
      </c>
      <c r="H46" s="5">
        <v>65463986</v>
      </c>
      <c r="I46" s="7">
        <v>1316930</v>
      </c>
      <c r="J46" s="7">
        <v>2171463</v>
      </c>
      <c r="K46" s="15">
        <f t="shared" si="11"/>
        <v>68952379</v>
      </c>
      <c r="M46" s="345">
        <f>ROUND(SUMIF('1.0'!$D:$D,T_IS!D46,'1.0'!$N:$N),0)</f>
        <v>0</v>
      </c>
      <c r="N46" s="7">
        <f>ROUND(SUMIF('2.0'!$D:$D,T_IS!D46,'2.0'!$N:$N),0)</f>
        <v>0</v>
      </c>
      <c r="O46" s="7">
        <f>ROUND(SUMIF('3.0'!$D:$D,T_IS!D46,'3.0'!$H:$H),0)</f>
        <v>0</v>
      </c>
      <c r="P46" s="7">
        <f>ROUND(SUMIF('4.0'!$D:$D,T_IS!D46,'4.0'!$N:$N),0)</f>
        <v>0</v>
      </c>
      <c r="Q46" s="7">
        <f>ROUND(SUMIF('5.0'!$D:$D,T_IS!D46,'5.0'!$N:$N),0)</f>
        <v>0</v>
      </c>
      <c r="R46" s="7">
        <f>ROUND(SUMIF('6.0'!$D:$D,T_IS!D46,'6.0'!$N:$N),0)</f>
        <v>0</v>
      </c>
      <c r="S46" s="7">
        <f>ROUND(SUMIF('7.0'!$D:$D,T_IS!D46,'7.0'!$I:$I),0)</f>
        <v>0</v>
      </c>
      <c r="T46" s="7">
        <f>ROUND(SUMIF('8.0'!$D:$D,T_IS!F46,'8.0'!$H:$H),0)</f>
        <v>0</v>
      </c>
      <c r="U46" s="347">
        <f t="shared" si="12"/>
        <v>0</v>
      </c>
      <c r="W46" s="39">
        <f t="shared" si="13"/>
        <v>68952379</v>
      </c>
      <c r="Y46" s="7"/>
      <c r="Z46" s="39">
        <v>68952379</v>
      </c>
      <c r="AA46" s="7">
        <f t="shared" si="4"/>
        <v>0</v>
      </c>
      <c r="AB46" s="7"/>
      <c r="AC46" s="7">
        <v>0</v>
      </c>
      <c r="AD46" s="7">
        <v>0</v>
      </c>
      <c r="AE46" s="7">
        <v>0</v>
      </c>
      <c r="AF46" s="7">
        <v>0</v>
      </c>
      <c r="AG46" s="7">
        <v>0</v>
      </c>
    </row>
    <row r="47" spans="1:33" s="38" customFormat="1" ht="18" customHeight="1">
      <c r="A47" s="7"/>
      <c r="D47" s="658">
        <v>629120</v>
      </c>
      <c r="E47" s="38" t="s">
        <v>258</v>
      </c>
      <c r="F47" s="37">
        <v>31001</v>
      </c>
      <c r="G47" s="38" t="s">
        <v>622</v>
      </c>
      <c r="H47" s="5">
        <v>21094052</v>
      </c>
      <c r="I47" s="7">
        <v>0</v>
      </c>
      <c r="J47" s="7">
        <v>0</v>
      </c>
      <c r="K47" s="15">
        <f t="shared" si="11"/>
        <v>21094052</v>
      </c>
      <c r="M47" s="345">
        <f>ROUND(SUMIF('1.0'!$D:$D,T_IS!D47,'1.0'!$N:$N),0)</f>
        <v>0</v>
      </c>
      <c r="N47" s="7">
        <f>ROUND(SUMIF('2.0'!$D:$D,T_IS!D47,'2.0'!$N:$N),0)</f>
        <v>0</v>
      </c>
      <c r="O47" s="7">
        <f>ROUND(SUMIF('3.0'!$D:$D,T_IS!D47,'3.0'!$H:$H),0)</f>
        <v>0</v>
      </c>
      <c r="P47" s="7">
        <f>ROUND(SUMIF('4.0'!$D:$D,T_IS!D47,'4.0'!$N:$N),0)</f>
        <v>0</v>
      </c>
      <c r="Q47" s="7">
        <f>ROUND(SUMIF('5.0'!$D:$D,T_IS!D47,'5.0'!$N:$N),0)</f>
        <v>0</v>
      </c>
      <c r="R47" s="7">
        <f>ROUND(SUMIF('6.0'!$D:$D,T_IS!D47,'6.0'!$N:$N),0)</f>
        <v>0</v>
      </c>
      <c r="S47" s="7">
        <f>ROUND(SUMIF('7.0'!$D:$D,T_IS!D47,'7.0'!$I:$I),0)</f>
        <v>0</v>
      </c>
      <c r="T47" s="7">
        <f>ROUND(SUMIF('8.0'!$D:$D,T_IS!F47,'8.0'!$H:$H),0)</f>
        <v>0</v>
      </c>
      <c r="U47" s="347">
        <f t="shared" si="12"/>
        <v>0</v>
      </c>
      <c r="W47" s="39">
        <f t="shared" si="13"/>
        <v>21094052</v>
      </c>
      <c r="Y47" s="7"/>
      <c r="Z47" s="39">
        <v>21094052</v>
      </c>
      <c r="AA47" s="7">
        <f t="shared" si="4"/>
        <v>0</v>
      </c>
      <c r="AB47" s="7"/>
      <c r="AC47" s="7">
        <v>0</v>
      </c>
      <c r="AD47" s="7">
        <v>0</v>
      </c>
      <c r="AE47" s="7">
        <v>0</v>
      </c>
      <c r="AF47" s="7">
        <v>0</v>
      </c>
      <c r="AG47" s="7">
        <v>0</v>
      </c>
    </row>
    <row r="48" spans="1:33" s="38" customFormat="1" ht="18" customHeight="1">
      <c r="A48" s="7"/>
      <c r="D48" s="658">
        <v>629140</v>
      </c>
      <c r="E48" s="38" t="s">
        <v>258</v>
      </c>
      <c r="F48" s="37">
        <v>310</v>
      </c>
      <c r="G48" s="38" t="s">
        <v>623</v>
      </c>
      <c r="H48" s="5">
        <v>438189327</v>
      </c>
      <c r="I48" s="7">
        <v>1778771</v>
      </c>
      <c r="J48" s="7">
        <v>8492109</v>
      </c>
      <c r="K48" s="15">
        <f t="shared" si="11"/>
        <v>448460207</v>
      </c>
      <c r="M48" s="345">
        <f>ROUND(SUMIF('1.0'!$D:$D,T_IS!D48,'1.0'!$N:$N),0)</f>
        <v>0</v>
      </c>
      <c r="N48" s="7">
        <f>ROUND(SUMIF('2.0'!$D:$D,T_IS!D48,'2.0'!$N:$N),0)</f>
        <v>0</v>
      </c>
      <c r="O48" s="7">
        <f>ROUND(SUMIF('3.0'!$D:$D,T_IS!D48,'3.0'!$H:$H),0)</f>
        <v>0</v>
      </c>
      <c r="P48" s="7">
        <f>ROUND(SUMIF('4.0'!$D:$D,T_IS!D48,'4.0'!$N:$N),0)</f>
        <v>0</v>
      </c>
      <c r="Q48" s="7">
        <f>ROUND(SUMIF('5.0'!$D:$D,T_IS!D48,'5.0'!$N:$N),0)</f>
        <v>0</v>
      </c>
      <c r="R48" s="7">
        <f>ROUND(SUMIF('6.0'!$D:$D,T_IS!D48,'6.0'!$N:$N),0)</f>
        <v>0</v>
      </c>
      <c r="S48" s="7">
        <f>ROUND(SUMIF('7.0'!$D:$D,T_IS!D48,'7.0'!$I:$I),0)</f>
        <v>0</v>
      </c>
      <c r="T48" s="7">
        <f>ROUND(SUMIF('8.0'!$D:$D,T_IS!F48,'8.0'!$H:$H),0)</f>
        <v>0</v>
      </c>
      <c r="U48" s="347">
        <f t="shared" si="12"/>
        <v>0</v>
      </c>
      <c r="W48" s="39">
        <f t="shared" si="13"/>
        <v>448460207</v>
      </c>
      <c r="Y48" s="7"/>
      <c r="Z48" s="39">
        <v>448460207</v>
      </c>
      <c r="AA48" s="7">
        <f t="shared" si="4"/>
        <v>0</v>
      </c>
      <c r="AB48" s="7"/>
      <c r="AC48" s="7">
        <v>0</v>
      </c>
      <c r="AD48" s="7">
        <v>0</v>
      </c>
      <c r="AE48" s="7">
        <v>0</v>
      </c>
      <c r="AF48" s="7">
        <v>0</v>
      </c>
      <c r="AG48" s="7">
        <v>0</v>
      </c>
    </row>
    <row r="49" spans="1:33" s="38" customFormat="1" ht="18" customHeight="1">
      <c r="A49" s="7"/>
      <c r="D49" s="658">
        <v>629150</v>
      </c>
      <c r="E49" s="38" t="s">
        <v>258</v>
      </c>
      <c r="F49" s="37">
        <v>310</v>
      </c>
      <c r="G49" s="38" t="s">
        <v>624</v>
      </c>
      <c r="H49" s="5">
        <v>26533526</v>
      </c>
      <c r="I49" s="7">
        <v>0</v>
      </c>
      <c r="J49" s="7">
        <v>0</v>
      </c>
      <c r="K49" s="15">
        <f t="shared" si="11"/>
        <v>26533526</v>
      </c>
      <c r="M49" s="345">
        <f>ROUND(SUMIF('1.0'!$D:$D,T_IS!D49,'1.0'!$N:$N),0)</f>
        <v>0</v>
      </c>
      <c r="N49" s="7">
        <f>ROUND(SUMIF('2.0'!$D:$D,T_IS!D49,'2.0'!$N:$N),0)</f>
        <v>0</v>
      </c>
      <c r="O49" s="7">
        <f>ROUND(SUMIF('3.0'!$D:$D,T_IS!D49,'3.0'!$H:$H),0)</f>
        <v>0</v>
      </c>
      <c r="P49" s="7">
        <f>ROUND(SUMIF('4.0'!$D:$D,T_IS!D49,'4.0'!$N:$N),0)</f>
        <v>0</v>
      </c>
      <c r="Q49" s="7">
        <f>ROUND(SUMIF('5.0'!$D:$D,T_IS!D49,'5.0'!$N:$N),0)</f>
        <v>0</v>
      </c>
      <c r="R49" s="7">
        <f>ROUND(SUMIF('6.0'!$D:$D,T_IS!D49,'6.0'!$N:$N),0)</f>
        <v>0</v>
      </c>
      <c r="S49" s="7">
        <f>ROUND(SUMIF('7.0'!$D:$D,T_IS!D49,'7.0'!$I:$I),0)</f>
        <v>0</v>
      </c>
      <c r="T49" s="7">
        <f>ROUND(SUMIF('8.0'!$D:$D,T_IS!F49,'8.0'!$H:$H),0)</f>
        <v>0</v>
      </c>
      <c r="U49" s="347">
        <f t="shared" si="12"/>
        <v>0</v>
      </c>
      <c r="W49" s="39">
        <f t="shared" si="13"/>
        <v>26533526</v>
      </c>
      <c r="Y49" s="7"/>
      <c r="Z49" s="39">
        <v>26533526</v>
      </c>
      <c r="AA49" s="7">
        <f t="shared" si="4"/>
        <v>0</v>
      </c>
      <c r="AB49" s="7"/>
      <c r="AC49" s="7">
        <v>0</v>
      </c>
      <c r="AD49" s="7">
        <v>0</v>
      </c>
      <c r="AE49" s="7">
        <v>0</v>
      </c>
      <c r="AF49" s="7">
        <v>0</v>
      </c>
      <c r="AG49" s="7">
        <v>0</v>
      </c>
    </row>
    <row r="50" spans="1:33" s="38" customFormat="1" ht="18" customHeight="1">
      <c r="A50" s="7"/>
      <c r="D50" s="658">
        <v>651100</v>
      </c>
      <c r="E50" s="38" t="s">
        <v>258</v>
      </c>
      <c r="F50" s="37">
        <v>335</v>
      </c>
      <c r="G50" s="38" t="s">
        <v>625</v>
      </c>
      <c r="H50" s="5">
        <v>1994517638</v>
      </c>
      <c r="I50" s="7">
        <v>13654261</v>
      </c>
      <c r="J50" s="7">
        <v>285651147</v>
      </c>
      <c r="K50" s="15">
        <f t="shared" si="11"/>
        <v>2293823046</v>
      </c>
      <c r="M50" s="345">
        <f>ROUND(SUMIF('1.0'!$D:$D,T_IS!D50,'1.0'!$N:$N),0)</f>
        <v>0</v>
      </c>
      <c r="N50" s="7">
        <f>ROUND(SUMIF('2.0'!$D:$D,T_IS!D50,'2.0'!$N:$N),0)</f>
        <v>0</v>
      </c>
      <c r="O50" s="7">
        <f>ROUND(SUMIF('3.0'!$D:$D,T_IS!D50,'3.0'!$H:$H),0)</f>
        <v>0</v>
      </c>
      <c r="P50" s="7">
        <f>ROUND(SUMIF('4.0'!$D:$D,T_IS!D50,'4.0'!$N:$N),0)</f>
        <v>0</v>
      </c>
      <c r="Q50" s="7">
        <f>ROUND(SUMIF('5.0'!$D:$D,T_IS!D50,'5.0'!$N:$N),0)</f>
        <v>0</v>
      </c>
      <c r="R50" s="7">
        <f>ROUND(SUMIF('6.0'!$D:$D,T_IS!D50,'6.0'!$N:$N),0)</f>
        <v>0</v>
      </c>
      <c r="S50" s="7">
        <f>ROUND(SUMIF('7.0'!$D:$D,T_IS!D50,'7.0'!$I:$I),0)</f>
        <v>0</v>
      </c>
      <c r="T50" s="7">
        <f>ROUND(SUMIF('8.0'!$D:$D,T_IS!F50,'8.0'!$H:$H),0)</f>
        <v>0</v>
      </c>
      <c r="U50" s="347">
        <f t="shared" si="12"/>
        <v>0</v>
      </c>
      <c r="W50" s="39">
        <f t="shared" si="13"/>
        <v>2293823046</v>
      </c>
      <c r="Y50" s="7"/>
      <c r="Z50" s="39">
        <v>2313603655</v>
      </c>
      <c r="AA50" s="7">
        <f t="shared" si="4"/>
        <v>-19780609</v>
      </c>
      <c r="AB50" s="7"/>
      <c r="AC50" s="7">
        <v>0</v>
      </c>
      <c r="AD50" s="7">
        <v>0</v>
      </c>
      <c r="AE50" s="7">
        <v>-19780609</v>
      </c>
      <c r="AF50" s="7">
        <v>0</v>
      </c>
      <c r="AG50" s="7">
        <v>-19780609</v>
      </c>
    </row>
    <row r="51" spans="1:33" s="38" customFormat="1" ht="18" customHeight="1">
      <c r="A51" s="7"/>
      <c r="D51" s="658">
        <v>651110</v>
      </c>
      <c r="E51" s="38" t="s">
        <v>258</v>
      </c>
      <c r="F51" s="37">
        <v>334</v>
      </c>
      <c r="G51" s="38" t="s">
        <v>626</v>
      </c>
      <c r="H51" s="5">
        <v>38021107</v>
      </c>
      <c r="I51" s="7">
        <v>0</v>
      </c>
      <c r="J51" s="7">
        <v>0</v>
      </c>
      <c r="K51" s="15">
        <f t="shared" si="11"/>
        <v>38021107</v>
      </c>
      <c r="M51" s="345">
        <f>ROUND(SUMIF('1.0'!$D:$D,T_IS!D51,'1.0'!$N:$N),0)</f>
        <v>0</v>
      </c>
      <c r="N51" s="7">
        <f>ROUND(SUMIF('2.0'!$D:$D,T_IS!D51,'2.0'!$N:$N),0)</f>
        <v>0</v>
      </c>
      <c r="O51" s="7">
        <f>ROUND(SUMIF('3.0'!$D:$D,T_IS!D51,'3.0'!$H:$H),0)</f>
        <v>0</v>
      </c>
      <c r="P51" s="7">
        <f>ROUND(SUMIF('4.0'!$D:$D,T_IS!D51,'4.0'!$N:$N),0)</f>
        <v>0</v>
      </c>
      <c r="Q51" s="7">
        <f>ROUND(SUMIF('5.0'!$D:$D,T_IS!D51,'5.0'!$N:$N),0)</f>
        <v>0</v>
      </c>
      <c r="R51" s="7">
        <f>ROUND(SUMIF('6.0'!$D:$D,T_IS!D51,'6.0'!$N:$N),0)</f>
        <v>0</v>
      </c>
      <c r="S51" s="7">
        <f>ROUND(SUMIF('7.0'!$D:$D,T_IS!D51,'7.0'!$I:$I),0)</f>
        <v>0</v>
      </c>
      <c r="T51" s="7">
        <f>ROUND(SUMIF('8.0'!$D:$D,T_IS!F51,'8.0'!$H:$H),0)</f>
        <v>0</v>
      </c>
      <c r="U51" s="347">
        <f t="shared" si="12"/>
        <v>0</v>
      </c>
      <c r="W51" s="39">
        <f t="shared" si="13"/>
        <v>38021107</v>
      </c>
      <c r="Y51" s="7"/>
      <c r="Z51" s="39">
        <v>38021107</v>
      </c>
      <c r="AA51" s="7">
        <f t="shared" si="4"/>
        <v>0</v>
      </c>
      <c r="AB51" s="7"/>
      <c r="AC51" s="7">
        <v>0</v>
      </c>
      <c r="AD51" s="7">
        <v>0</v>
      </c>
      <c r="AE51" s="7">
        <v>0</v>
      </c>
      <c r="AF51" s="7">
        <v>0</v>
      </c>
      <c r="AG51" s="7">
        <v>0</v>
      </c>
    </row>
    <row r="52" spans="1:33" s="38" customFormat="1" ht="18" customHeight="1">
      <c r="A52" s="7"/>
      <c r="D52" s="870">
        <v>651120</v>
      </c>
      <c r="E52" s="871" t="s">
        <v>258</v>
      </c>
      <c r="F52" s="871">
        <v>336</v>
      </c>
      <c r="G52" s="318" t="s">
        <v>2262</v>
      </c>
      <c r="H52" s="5">
        <v>4014718</v>
      </c>
      <c r="I52" s="7">
        <v>0</v>
      </c>
      <c r="J52" s="7">
        <v>0</v>
      </c>
      <c r="K52" s="15">
        <f t="shared" si="11"/>
        <v>4014718</v>
      </c>
      <c r="M52" s="345">
        <f>ROUND(SUMIF('1.0'!$D:$D,T_IS!D52,'1.0'!$N:$N),0)</f>
        <v>0</v>
      </c>
      <c r="N52" s="7">
        <f>ROUND(SUMIF('2.0'!$D:$D,T_IS!D52,'2.0'!$N:$N),0)</f>
        <v>0</v>
      </c>
      <c r="O52" s="7">
        <f>ROUND(SUMIF('3.0'!$D:$D,T_IS!D52,'3.0'!$H:$H),0)</f>
        <v>0</v>
      </c>
      <c r="P52" s="7">
        <f>ROUND(SUMIF('4.0'!$D:$D,T_IS!D52,'4.0'!$N:$N),0)</f>
        <v>0</v>
      </c>
      <c r="Q52" s="7">
        <f>ROUND(SUMIF('5.0'!$D:$D,T_IS!D52,'5.0'!$N:$N),0)</f>
        <v>0</v>
      </c>
      <c r="R52" s="7">
        <f>ROUND(SUMIF('6.0'!$D:$D,T_IS!D52,'6.0'!$N:$N),0)</f>
        <v>0</v>
      </c>
      <c r="S52" s="7">
        <f>ROUND(SUMIF('7.0'!$D:$D,T_IS!D52,'7.0'!$I:$I),0)</f>
        <v>0</v>
      </c>
      <c r="T52" s="7">
        <f>ROUND(SUMIF('8.0'!$D:$D,T_IS!F52,'8.0'!$H:$H),0)</f>
        <v>0</v>
      </c>
      <c r="U52" s="347">
        <f t="shared" si="12"/>
        <v>0</v>
      </c>
      <c r="W52" s="39">
        <f t="shared" si="13"/>
        <v>4014718</v>
      </c>
      <c r="Y52" s="7"/>
      <c r="Z52" s="39">
        <v>4014718</v>
      </c>
      <c r="AA52" s="7">
        <f t="shared" si="4"/>
        <v>0</v>
      </c>
      <c r="AB52" s="7"/>
      <c r="AC52" s="7">
        <v>0</v>
      </c>
      <c r="AD52" s="7">
        <v>0</v>
      </c>
      <c r="AE52" s="7">
        <v>0</v>
      </c>
      <c r="AF52" s="7">
        <v>0</v>
      </c>
      <c r="AG52" s="7">
        <v>0</v>
      </c>
    </row>
    <row r="53" spans="1:33" ht="18" customHeight="1">
      <c r="A53" s="7"/>
      <c r="D53" s="14" t="s">
        <v>390</v>
      </c>
      <c r="E53" s="6" t="s">
        <v>258</v>
      </c>
      <c r="F53" s="40">
        <v>326</v>
      </c>
      <c r="G53" s="6" t="s">
        <v>386</v>
      </c>
      <c r="H53" s="5">
        <v>5827842055</v>
      </c>
      <c r="I53" s="7">
        <v>0</v>
      </c>
      <c r="J53" s="7">
        <v>16368739</v>
      </c>
      <c r="K53" s="15">
        <f t="shared" si="11"/>
        <v>5844210794</v>
      </c>
      <c r="M53" s="345">
        <f>ROUND(SUMIF('1.0'!$D:$D,T_IS!D53,'1.0'!$N:$N),0)</f>
        <v>0</v>
      </c>
      <c r="N53" s="7">
        <f>ROUND(SUMIF('2.0'!$D:$D,T_IS!D53,'2.0'!$N:$N),0)</f>
        <v>0</v>
      </c>
      <c r="O53" s="7">
        <f>ROUND(SUMIF('3.0'!$D:$D,T_IS!D53,'3.0'!$H:$H),0)</f>
        <v>0</v>
      </c>
      <c r="P53" s="7">
        <f>ROUND(SUMIF('4.0'!$D:$D,T_IS!D53,'4.0'!$N:$N),0)</f>
        <v>0</v>
      </c>
      <c r="Q53" s="7">
        <f>ROUND(SUMIF('5.0'!$D:$D,T_IS!D53,'5.0'!$N:$N),0)</f>
        <v>719869189</v>
      </c>
      <c r="R53" s="7">
        <f>ROUND(SUMIF('6.0'!$D:$D,T_IS!D53,'6.0'!$N:$N),0)</f>
        <v>0</v>
      </c>
      <c r="S53" s="7">
        <f>ROUND(SUMIF('7.0'!$D:$D,T_IS!D53,'7.0'!$I:$I),0)</f>
        <v>0</v>
      </c>
      <c r="T53" s="7">
        <f>ROUND(SUMIF('8.0'!$D:$D,T_IS!F53,'8.0'!$H:$H),0)</f>
        <v>0</v>
      </c>
      <c r="U53" s="347">
        <f t="shared" si="12"/>
        <v>719869189</v>
      </c>
      <c r="W53" s="39">
        <f t="shared" si="13"/>
        <v>6564079983</v>
      </c>
      <c r="Y53" s="7"/>
      <c r="Z53" s="39">
        <v>6564079983</v>
      </c>
      <c r="AA53" s="7">
        <f t="shared" si="4"/>
        <v>0</v>
      </c>
      <c r="AB53" s="7"/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3" ht="18" customHeight="1">
      <c r="A54" s="7"/>
      <c r="D54" s="14" t="s">
        <v>275</v>
      </c>
      <c r="E54" s="6" t="s">
        <v>258</v>
      </c>
      <c r="F54" s="40">
        <v>311</v>
      </c>
      <c r="G54" s="6" t="s">
        <v>276</v>
      </c>
      <c r="H54" s="5">
        <v>246833993</v>
      </c>
      <c r="I54" s="7">
        <v>0</v>
      </c>
      <c r="J54" s="7">
        <v>60619057</v>
      </c>
      <c r="K54" s="15">
        <f t="shared" si="11"/>
        <v>307453050</v>
      </c>
      <c r="M54" s="345">
        <f>ROUND(SUMIF('1.0'!$D:$D,T_IS!D54,'1.0'!$N:$N),0)</f>
        <v>0</v>
      </c>
      <c r="N54" s="7">
        <f>ROUND(SUMIF('2.0'!$D:$D,T_IS!D54,'2.0'!$N:$N),0)</f>
        <v>0</v>
      </c>
      <c r="O54" s="7">
        <f>ROUND(SUMIF('3.0'!$D:$D,T_IS!D54,'3.0'!$H:$H),0)</f>
        <v>0</v>
      </c>
      <c r="P54" s="7">
        <f>ROUND(SUMIF('4.0'!$D:$D,T_IS!D54,'4.0'!$N:$N),0)</f>
        <v>0</v>
      </c>
      <c r="Q54" s="7">
        <f>ROUND(SUMIF('5.0'!$D:$D,T_IS!D54,'5.0'!$N:$N),0)</f>
        <v>0</v>
      </c>
      <c r="R54" s="7">
        <f>ROUND(SUMIF('6.0'!$D:$D,T_IS!D54,'6.0'!$N:$N),0)</f>
        <v>-27221131</v>
      </c>
      <c r="S54" s="7">
        <f>ROUND(SUMIF('7.0'!$D:$D,T_IS!D54,'7.0'!$I:$I),0)</f>
        <v>0</v>
      </c>
      <c r="T54" s="7">
        <f>ROUND(SUMIF('8.0'!$D:$D,T_IS!F54,'8.0'!$H:$H),0)</f>
        <v>0</v>
      </c>
      <c r="U54" s="347">
        <f t="shared" si="12"/>
        <v>-27221131</v>
      </c>
      <c r="W54" s="39">
        <f t="shared" si="13"/>
        <v>280231919</v>
      </c>
      <c r="Y54" s="7"/>
      <c r="Z54" s="39">
        <v>176445192</v>
      </c>
      <c r="AA54" s="7">
        <f t="shared" si="4"/>
        <v>103786727</v>
      </c>
      <c r="AB54" s="7"/>
      <c r="AC54" s="7">
        <v>0</v>
      </c>
      <c r="AD54" s="7">
        <v>0</v>
      </c>
      <c r="AE54" s="7">
        <v>103786727</v>
      </c>
      <c r="AF54" s="7">
        <v>0</v>
      </c>
      <c r="AG54" s="7">
        <v>103786727</v>
      </c>
    </row>
    <row r="55" spans="1:33" ht="18" customHeight="1">
      <c r="A55" s="7"/>
      <c r="D55" s="14" t="s">
        <v>1956</v>
      </c>
      <c r="E55" s="6" t="s">
        <v>258</v>
      </c>
      <c r="F55" s="40">
        <v>31101</v>
      </c>
      <c r="G55" s="6" t="s">
        <v>1796</v>
      </c>
      <c r="H55" s="5">
        <v>0</v>
      </c>
      <c r="I55" s="7">
        <v>24919482</v>
      </c>
      <c r="J55" s="7">
        <v>0</v>
      </c>
      <c r="K55" s="15">
        <f t="shared" si="11"/>
        <v>24919482</v>
      </c>
      <c r="M55" s="345">
        <f>ROUND(SUMIF('1.0'!$D:$D,T_IS!D55,'1.0'!$N:$N),0)</f>
        <v>0</v>
      </c>
      <c r="N55" s="7">
        <f>ROUND(SUMIF('2.0'!$D:$D,T_IS!D55,'2.0'!$N:$N),0)</f>
        <v>0</v>
      </c>
      <c r="O55" s="7">
        <f>ROUND(SUMIF('3.0'!$D:$D,T_IS!D55,'3.0'!$H:$H),0)</f>
        <v>0</v>
      </c>
      <c r="P55" s="7">
        <f>ROUND(SUMIF('4.0'!$D:$D,T_IS!D55,'4.0'!$N:$N),0)</f>
        <v>0</v>
      </c>
      <c r="Q55" s="7">
        <f>ROUND(SUMIF('5.0'!$D:$D,T_IS!D55,'5.0'!$N:$N),0)</f>
        <v>0</v>
      </c>
      <c r="R55" s="7">
        <f>ROUND(SUMIF('6.0'!$D:$D,T_IS!D55,'6.0'!$N:$N),0)</f>
        <v>45674784</v>
      </c>
      <c r="S55" s="7">
        <f>ROUND(SUMIF('7.0'!$D:$D,T_IS!D55,'7.0'!$I:$I),0)</f>
        <v>0</v>
      </c>
      <c r="T55" s="7">
        <f>ROUND(SUMIF('8.0'!$D:$D,T_IS!F55,'8.0'!$H:$H),0)</f>
        <v>0</v>
      </c>
      <c r="U55" s="347">
        <f t="shared" si="12"/>
        <v>45674784</v>
      </c>
      <c r="W55" s="39">
        <f t="shared" si="13"/>
        <v>70594266</v>
      </c>
      <c r="Y55" s="7"/>
      <c r="Z55" s="39">
        <v>37136089</v>
      </c>
      <c r="AA55" s="7">
        <f t="shared" si="4"/>
        <v>33458177</v>
      </c>
      <c r="AB55" s="7"/>
      <c r="AC55" s="7">
        <v>0</v>
      </c>
      <c r="AD55" s="7">
        <v>33458177</v>
      </c>
      <c r="AE55" s="7">
        <v>0</v>
      </c>
      <c r="AF55" s="7">
        <v>0</v>
      </c>
      <c r="AG55" s="7">
        <v>33458177</v>
      </c>
    </row>
    <row r="56" spans="1:33" ht="18" customHeight="1">
      <c r="A56" s="7"/>
      <c r="D56" s="14" t="s">
        <v>1958</v>
      </c>
      <c r="E56" s="6" t="s">
        <v>258</v>
      </c>
      <c r="F56" s="40">
        <v>31102</v>
      </c>
      <c r="G56" s="6" t="s">
        <v>1797</v>
      </c>
      <c r="H56" s="5">
        <v>0</v>
      </c>
      <c r="I56" s="7">
        <v>0</v>
      </c>
      <c r="J56" s="7">
        <v>928259</v>
      </c>
      <c r="K56" s="15">
        <f t="shared" si="11"/>
        <v>928259</v>
      </c>
      <c r="M56" s="345">
        <f>ROUND(SUMIF('1.0'!$D:$D,T_IS!D56,'1.0'!$N:$N),0)</f>
        <v>0</v>
      </c>
      <c r="N56" s="7">
        <f>ROUND(SUMIF('2.0'!$D:$D,T_IS!D56,'2.0'!$N:$N),0)</f>
        <v>0</v>
      </c>
      <c r="O56" s="7">
        <f>ROUND(SUMIF('3.0'!$D:$D,T_IS!D56,'3.0'!$H:$H),0)</f>
        <v>0</v>
      </c>
      <c r="P56" s="7">
        <f>ROUND(SUMIF('4.0'!$D:$D,T_IS!D56,'4.0'!$N:$N),0)</f>
        <v>0</v>
      </c>
      <c r="Q56" s="7">
        <f>ROUND(SUMIF('5.0'!$D:$D,T_IS!D56,'5.0'!$N:$N),0)</f>
        <v>0</v>
      </c>
      <c r="R56" s="7">
        <f>ROUND(SUMIF('6.0'!$D:$D,T_IS!D56,'6.0'!$N:$N),0)</f>
        <v>37030833</v>
      </c>
      <c r="S56" s="7">
        <f>ROUND(SUMIF('7.0'!$D:$D,T_IS!D56,'7.0'!$I:$I),0)</f>
        <v>0</v>
      </c>
      <c r="T56" s="7">
        <f>ROUND(SUMIF('8.0'!$D:$D,T_IS!F56,'8.0'!$H:$H),0)</f>
        <v>0</v>
      </c>
      <c r="U56" s="347">
        <f t="shared" si="12"/>
        <v>37030833</v>
      </c>
      <c r="W56" s="39">
        <f t="shared" si="13"/>
        <v>37959092</v>
      </c>
      <c r="Y56" s="7"/>
      <c r="Z56" s="39">
        <v>37959092</v>
      </c>
      <c r="AA56" s="7">
        <f t="shared" si="4"/>
        <v>0</v>
      </c>
      <c r="AB56" s="7"/>
      <c r="AC56" s="7">
        <v>0</v>
      </c>
      <c r="AD56" s="7">
        <v>0</v>
      </c>
      <c r="AE56" s="7">
        <v>0</v>
      </c>
      <c r="AF56" s="7">
        <v>0</v>
      </c>
      <c r="AG56" s="7">
        <v>0</v>
      </c>
    </row>
    <row r="57" spans="1:33" ht="18" customHeight="1">
      <c r="A57" s="7"/>
      <c r="D57" s="14" t="s">
        <v>277</v>
      </c>
      <c r="E57" s="6" t="s">
        <v>258</v>
      </c>
      <c r="F57" s="40">
        <v>312</v>
      </c>
      <c r="G57" s="6" t="s">
        <v>278</v>
      </c>
      <c r="H57" s="5">
        <v>221476500</v>
      </c>
      <c r="I57" s="7">
        <v>0</v>
      </c>
      <c r="J57" s="7">
        <v>0</v>
      </c>
      <c r="K57" s="15">
        <f t="shared" si="11"/>
        <v>221476500</v>
      </c>
      <c r="M57" s="345">
        <f>ROUND(SUMIF('1.0'!$D:$D,T_IS!D57,'1.0'!$N:$N),0)</f>
        <v>0</v>
      </c>
      <c r="N57" s="7">
        <f>ROUND(SUMIF('2.0'!$D:$D,T_IS!D57,'2.0'!$N:$N),0)</f>
        <v>0</v>
      </c>
      <c r="O57" s="7">
        <f>ROUND(SUMIF('3.0'!$D:$D,T_IS!D57,'3.0'!$H:$H),0)</f>
        <v>0</v>
      </c>
      <c r="P57" s="7">
        <f>ROUND(SUMIF('4.0'!$D:$D,T_IS!D57,'4.0'!$N:$N),0)</f>
        <v>0</v>
      </c>
      <c r="Q57" s="7">
        <f>ROUND(SUMIF('5.0'!$D:$D,T_IS!D57,'5.0'!$N:$N),0)</f>
        <v>0</v>
      </c>
      <c r="R57" s="7">
        <f>ROUND(SUMIF('6.0'!$D:$D,T_IS!D57,'6.0'!$N:$N),0)</f>
        <v>0</v>
      </c>
      <c r="S57" s="7">
        <f>ROUND(SUMIF('7.0'!$D:$D,T_IS!D57,'7.0'!$I:$I),0)</f>
        <v>0</v>
      </c>
      <c r="T57" s="7">
        <f>ROUND(SUMIF('8.0'!$D:$D,T_IS!F57,'8.0'!$H:$H),0)</f>
        <v>0</v>
      </c>
      <c r="U57" s="347">
        <f t="shared" si="12"/>
        <v>0</v>
      </c>
      <c r="W57" s="39">
        <f t="shared" si="13"/>
        <v>221476500</v>
      </c>
      <c r="Y57" s="7"/>
      <c r="Z57" s="39">
        <v>221476500</v>
      </c>
      <c r="AA57" s="7">
        <f t="shared" si="4"/>
        <v>0</v>
      </c>
      <c r="AB57" s="7"/>
      <c r="AC57" s="7">
        <v>0</v>
      </c>
      <c r="AD57" s="7">
        <v>0</v>
      </c>
      <c r="AE57" s="7">
        <v>0</v>
      </c>
      <c r="AF57" s="7">
        <v>0</v>
      </c>
      <c r="AG57" s="7">
        <v>0</v>
      </c>
    </row>
    <row r="58" spans="1:33" ht="18" customHeight="1">
      <c r="A58" s="7"/>
      <c r="D58" s="14" t="s">
        <v>279</v>
      </c>
      <c r="E58" s="6" t="s">
        <v>258</v>
      </c>
      <c r="F58" s="40">
        <v>313</v>
      </c>
      <c r="G58" s="6" t="s">
        <v>280</v>
      </c>
      <c r="H58" s="5">
        <v>37802889</v>
      </c>
      <c r="I58" s="7">
        <v>273434</v>
      </c>
      <c r="J58" s="7">
        <v>0</v>
      </c>
      <c r="K58" s="15">
        <f t="shared" si="11"/>
        <v>38076323</v>
      </c>
      <c r="M58" s="345">
        <f>ROUND(SUMIF('1.0'!$D:$D,T_IS!D58,'1.0'!$N:$N),0)</f>
        <v>0</v>
      </c>
      <c r="N58" s="7">
        <f>ROUND(SUMIF('2.0'!$D:$D,T_IS!D58,'2.0'!$N:$N),0)</f>
        <v>0</v>
      </c>
      <c r="O58" s="7">
        <f>ROUND(SUMIF('3.0'!$D:$D,T_IS!D58,'3.0'!$H:$H),0)</f>
        <v>0</v>
      </c>
      <c r="P58" s="7">
        <f>ROUND(SUMIF('4.0'!$D:$D,T_IS!D58,'4.0'!$N:$N),0)</f>
        <v>0</v>
      </c>
      <c r="Q58" s="7">
        <f>ROUND(SUMIF('5.0'!$D:$D,T_IS!D58,'5.0'!$N:$N),0)</f>
        <v>0</v>
      </c>
      <c r="R58" s="7">
        <f>ROUND(SUMIF('6.0'!$D:$D,T_IS!D58,'6.0'!$N:$N),0)</f>
        <v>0</v>
      </c>
      <c r="S58" s="7">
        <f>ROUND(SUMIF('7.0'!$D:$D,T_IS!D58,'7.0'!$I:$I),0)</f>
        <v>0</v>
      </c>
      <c r="T58" s="7">
        <f>ROUND(SUMIF('8.0'!$D:$D,T_IS!F58,'8.0'!$H:$H),0)</f>
        <v>0</v>
      </c>
      <c r="U58" s="347">
        <f t="shared" si="12"/>
        <v>0</v>
      </c>
      <c r="W58" s="39">
        <f t="shared" si="13"/>
        <v>38076323</v>
      </c>
      <c r="Y58" s="7"/>
      <c r="Z58" s="39">
        <v>38076323</v>
      </c>
      <c r="AA58" s="7">
        <f t="shared" si="4"/>
        <v>0</v>
      </c>
      <c r="AB58" s="7"/>
      <c r="AC58" s="7">
        <v>0</v>
      </c>
      <c r="AD58" s="7">
        <v>0</v>
      </c>
      <c r="AE58" s="7">
        <v>0</v>
      </c>
      <c r="AF58" s="7">
        <v>0</v>
      </c>
      <c r="AG58" s="7">
        <v>0</v>
      </c>
    </row>
    <row r="59" spans="1:33" ht="18" customHeight="1">
      <c r="A59" s="7"/>
      <c r="D59" s="14" t="s">
        <v>281</v>
      </c>
      <c r="E59" s="6" t="s">
        <v>258</v>
      </c>
      <c r="F59" s="40">
        <v>314</v>
      </c>
      <c r="G59" s="6" t="s">
        <v>282</v>
      </c>
      <c r="H59" s="5">
        <v>20516557</v>
      </c>
      <c r="I59" s="7">
        <v>12147889</v>
      </c>
      <c r="J59" s="7">
        <v>0</v>
      </c>
      <c r="K59" s="15">
        <f t="shared" si="11"/>
        <v>32664446</v>
      </c>
      <c r="M59" s="345">
        <f>ROUND(SUMIF('1.0'!$D:$D,T_IS!D59,'1.0'!$N:$N),0)</f>
        <v>0</v>
      </c>
      <c r="N59" s="7">
        <f>ROUND(SUMIF('2.0'!$D:$D,T_IS!D59,'2.0'!$N:$N),0)</f>
        <v>0</v>
      </c>
      <c r="O59" s="7">
        <f>ROUND(SUMIF('3.0'!$D:$D,T_IS!D59,'3.0'!$H:$H),0)</f>
        <v>0</v>
      </c>
      <c r="P59" s="7">
        <f>ROUND(SUMIF('4.0'!$D:$D,T_IS!D59,'4.0'!$N:$N),0)</f>
        <v>0</v>
      </c>
      <c r="Q59" s="7">
        <f>ROUND(SUMIF('5.0'!$D:$D,T_IS!D59,'5.0'!$N:$N),0)</f>
        <v>0</v>
      </c>
      <c r="R59" s="7">
        <f>ROUND(SUMIF('6.0'!$D:$D,T_IS!D59,'6.0'!$N:$N),0)</f>
        <v>0</v>
      </c>
      <c r="S59" s="7">
        <f>ROUND(SUMIF('7.0'!$D:$D,T_IS!D59,'7.0'!$I:$I),0)</f>
        <v>0</v>
      </c>
      <c r="T59" s="7">
        <f>ROUND(SUMIF('8.0'!$D:$D,T_IS!F59,'8.0'!$H:$H),0)</f>
        <v>0</v>
      </c>
      <c r="U59" s="347">
        <f t="shared" si="12"/>
        <v>0</v>
      </c>
      <c r="W59" s="39">
        <f t="shared" si="13"/>
        <v>32664446</v>
      </c>
      <c r="Y59" s="7"/>
      <c r="Z59" s="39">
        <v>32664446</v>
      </c>
      <c r="AA59" s="7">
        <f t="shared" si="4"/>
        <v>0</v>
      </c>
      <c r="AB59" s="7"/>
      <c r="AC59" s="7">
        <v>0</v>
      </c>
      <c r="AD59" s="7">
        <v>0</v>
      </c>
      <c r="AE59" s="7">
        <v>0</v>
      </c>
      <c r="AF59" s="7">
        <v>0</v>
      </c>
      <c r="AG59" s="7">
        <v>0</v>
      </c>
    </row>
    <row r="60" spans="1:33" ht="18" customHeight="1">
      <c r="A60" s="7"/>
      <c r="D60" s="14" t="s">
        <v>283</v>
      </c>
      <c r="E60" s="6" t="s">
        <v>258</v>
      </c>
      <c r="F60" s="40">
        <v>315</v>
      </c>
      <c r="G60" s="6" t="s">
        <v>284</v>
      </c>
      <c r="H60" s="5">
        <v>2152821079</v>
      </c>
      <c r="I60" s="7">
        <v>0</v>
      </c>
      <c r="J60" s="7">
        <v>0</v>
      </c>
      <c r="K60" s="15">
        <f t="shared" si="11"/>
        <v>2152821079</v>
      </c>
      <c r="M60" s="345">
        <f>ROUND(SUMIF('1.0'!$D:$D,T_IS!D60,'1.0'!$N:$N),0)</f>
        <v>0</v>
      </c>
      <c r="N60" s="7">
        <f>ROUND(SUMIF('2.0'!$D:$D,T_IS!D60,'2.0'!$N:$N),0)</f>
        <v>0</v>
      </c>
      <c r="O60" s="7">
        <f>ROUND(SUMIF('3.0'!$D:$D,T_IS!D60,'3.0'!$H:$H),0)</f>
        <v>0</v>
      </c>
      <c r="P60" s="7">
        <f>ROUND(SUMIF('4.0'!$D:$D,T_IS!D60,'4.0'!$N:$N),0)</f>
        <v>0</v>
      </c>
      <c r="Q60" s="7">
        <f>ROUND(SUMIF('5.0'!$D:$D,T_IS!D60,'5.0'!$N:$N),0)</f>
        <v>0</v>
      </c>
      <c r="R60" s="7">
        <f>ROUND(SUMIF('6.0'!$D:$D,T_IS!D60,'6.0'!$N:$N),0)</f>
        <v>0</v>
      </c>
      <c r="S60" s="7">
        <f>ROUND(SUMIF('7.0'!$D:$D,T_IS!D60,'7.0'!$I:$I),0)</f>
        <v>0</v>
      </c>
      <c r="T60" s="7">
        <f>ROUND(SUMIF('8.0'!$D:$D,T_IS!F60,'8.0'!$H:$H),0)</f>
        <v>0</v>
      </c>
      <c r="U60" s="347">
        <f t="shared" si="12"/>
        <v>0</v>
      </c>
      <c r="W60" s="39">
        <f t="shared" si="13"/>
        <v>2152821079</v>
      </c>
      <c r="Y60" s="7"/>
      <c r="Z60" s="39">
        <v>2149751401</v>
      </c>
      <c r="AA60" s="7">
        <f t="shared" si="4"/>
        <v>3069678</v>
      </c>
      <c r="AB60" s="7"/>
      <c r="AC60" s="7">
        <v>3069678</v>
      </c>
      <c r="AD60" s="7">
        <v>0</v>
      </c>
      <c r="AE60" s="7">
        <v>0</v>
      </c>
      <c r="AF60" s="7">
        <v>0</v>
      </c>
      <c r="AG60" s="7">
        <v>3069678</v>
      </c>
    </row>
    <row r="61" spans="1:33" ht="18" customHeight="1">
      <c r="A61" s="7"/>
      <c r="D61" s="14" t="s">
        <v>285</v>
      </c>
      <c r="E61" s="6" t="s">
        <v>258</v>
      </c>
      <c r="F61" s="40">
        <v>316</v>
      </c>
      <c r="G61" s="6" t="s">
        <v>286</v>
      </c>
      <c r="H61" s="5">
        <v>233854530</v>
      </c>
      <c r="I61" s="7">
        <v>106385</v>
      </c>
      <c r="J61" s="7">
        <v>35555019</v>
      </c>
      <c r="K61" s="15">
        <f t="shared" si="11"/>
        <v>269515934</v>
      </c>
      <c r="M61" s="345">
        <f>ROUND(SUMIF('1.0'!$D:$D,T_IS!D61,'1.0'!$N:$N),0)</f>
        <v>0</v>
      </c>
      <c r="N61" s="7">
        <f>ROUND(SUMIF('2.0'!$D:$D,T_IS!D61,'2.0'!$N:$N),0)</f>
        <v>0</v>
      </c>
      <c r="O61" s="7">
        <f>ROUND(SUMIF('3.0'!$D:$D,T_IS!D61,'3.0'!$H:$H),0)</f>
        <v>0</v>
      </c>
      <c r="P61" s="7">
        <f>ROUND(SUMIF('4.0'!$D:$D,T_IS!D61,'4.0'!$N:$N),0)</f>
        <v>0</v>
      </c>
      <c r="Q61" s="7">
        <f>ROUND(SUMIF('5.0'!$D:$D,T_IS!D61,'5.0'!$N:$N),0)</f>
        <v>0</v>
      </c>
      <c r="R61" s="7">
        <f>ROUND(SUMIF('6.0'!$D:$D,T_IS!D61,'6.0'!$N:$N),0)</f>
        <v>0</v>
      </c>
      <c r="S61" s="7">
        <f>ROUND(SUMIF('7.0'!$D:$D,T_IS!D61,'7.0'!$I:$I),0)</f>
        <v>0</v>
      </c>
      <c r="T61" s="7">
        <f>ROUND(SUMIF('8.0'!$D:$D,T_IS!F61,'8.0'!$H:$H),0)</f>
        <v>0</v>
      </c>
      <c r="U61" s="347">
        <f t="shared" si="12"/>
        <v>0</v>
      </c>
      <c r="W61" s="39">
        <f t="shared" si="13"/>
        <v>269515934</v>
      </c>
      <c r="Y61" s="7"/>
      <c r="Z61" s="39">
        <v>269515934</v>
      </c>
      <c r="AA61" s="7">
        <f t="shared" si="4"/>
        <v>0</v>
      </c>
      <c r="AB61" s="7"/>
      <c r="AC61" s="7">
        <v>0</v>
      </c>
      <c r="AD61" s="7">
        <v>0</v>
      </c>
      <c r="AE61" s="7">
        <v>0</v>
      </c>
      <c r="AF61" s="7">
        <v>0</v>
      </c>
      <c r="AG61" s="7">
        <v>0</v>
      </c>
    </row>
    <row r="62" spans="1:33" ht="18" customHeight="1">
      <c r="A62" s="7"/>
      <c r="D62" s="14" t="s">
        <v>287</v>
      </c>
      <c r="E62" s="6" t="s">
        <v>258</v>
      </c>
      <c r="F62" s="40">
        <v>317</v>
      </c>
      <c r="G62" s="6" t="s">
        <v>288</v>
      </c>
      <c r="H62" s="5">
        <v>95049509</v>
      </c>
      <c r="I62" s="7">
        <v>0</v>
      </c>
      <c r="J62" s="7">
        <v>0</v>
      </c>
      <c r="K62" s="15">
        <f t="shared" si="11"/>
        <v>95049509</v>
      </c>
      <c r="M62" s="345">
        <f>ROUND(SUMIF('1.0'!$D:$D,T_IS!D62,'1.0'!$N:$N),0)</f>
        <v>0</v>
      </c>
      <c r="N62" s="7">
        <f>ROUND(SUMIF('2.0'!$D:$D,T_IS!D62,'2.0'!$N:$N),0)</f>
        <v>0</v>
      </c>
      <c r="O62" s="7">
        <f>ROUND(SUMIF('3.0'!$D:$D,T_IS!D62,'3.0'!$H:$H),0)</f>
        <v>0</v>
      </c>
      <c r="P62" s="7">
        <f>ROUND(SUMIF('4.0'!$D:$D,T_IS!D62,'4.0'!$N:$N),0)</f>
        <v>0</v>
      </c>
      <c r="Q62" s="7">
        <f>ROUND(SUMIF('5.0'!$D:$D,T_IS!D62,'5.0'!$N:$N),0)</f>
        <v>0</v>
      </c>
      <c r="R62" s="7">
        <f>ROUND(SUMIF('6.0'!$D:$D,T_IS!D62,'6.0'!$N:$N),0)</f>
        <v>0</v>
      </c>
      <c r="S62" s="7">
        <f>ROUND(SUMIF('7.0'!$D:$D,T_IS!D62,'7.0'!$I:$I),0)</f>
        <v>0</v>
      </c>
      <c r="T62" s="7">
        <f>ROUND(SUMIF('8.0'!$D:$D,T_IS!F62,'8.0'!$H:$H),0)</f>
        <v>0</v>
      </c>
      <c r="U62" s="347">
        <f t="shared" si="12"/>
        <v>0</v>
      </c>
      <c r="W62" s="39">
        <f t="shared" si="13"/>
        <v>95049509</v>
      </c>
      <c r="Y62" s="7"/>
      <c r="Z62" s="39">
        <v>95049509</v>
      </c>
      <c r="AA62" s="7">
        <f t="shared" si="4"/>
        <v>0</v>
      </c>
      <c r="AB62" s="7"/>
      <c r="AC62" s="7">
        <v>0</v>
      </c>
      <c r="AD62" s="7">
        <v>0</v>
      </c>
      <c r="AE62" s="7">
        <v>0</v>
      </c>
      <c r="AF62" s="7">
        <v>0</v>
      </c>
      <c r="AG62" s="7">
        <v>0</v>
      </c>
    </row>
    <row r="63" spans="1:33" ht="18" customHeight="1">
      <c r="A63" s="7"/>
      <c r="D63" s="14" t="s">
        <v>289</v>
      </c>
      <c r="E63" s="6" t="s">
        <v>258</v>
      </c>
      <c r="F63" s="40">
        <v>318</v>
      </c>
      <c r="G63" s="6" t="s">
        <v>290</v>
      </c>
      <c r="H63" s="5">
        <v>42207210</v>
      </c>
      <c r="I63" s="7">
        <v>0</v>
      </c>
      <c r="J63" s="7">
        <v>7016399</v>
      </c>
      <c r="K63" s="15">
        <f t="shared" si="11"/>
        <v>49223609</v>
      </c>
      <c r="M63" s="345">
        <f>ROUND(SUMIF('1.0'!$D:$D,T_IS!D63,'1.0'!$N:$N),0)</f>
        <v>0</v>
      </c>
      <c r="N63" s="7">
        <f>ROUND(SUMIF('2.0'!$D:$D,T_IS!D63,'2.0'!$N:$N),0)</f>
        <v>0</v>
      </c>
      <c r="O63" s="7">
        <f>ROUND(SUMIF('3.0'!$D:$D,T_IS!D63,'3.0'!$H:$H),0)</f>
        <v>0</v>
      </c>
      <c r="P63" s="7">
        <f>ROUND(SUMIF('4.0'!$D:$D,T_IS!D63,'4.0'!$N:$N),0)</f>
        <v>0</v>
      </c>
      <c r="Q63" s="7">
        <f>ROUND(SUMIF('5.0'!$D:$D,T_IS!D63,'5.0'!$N:$N),0)</f>
        <v>0</v>
      </c>
      <c r="R63" s="7">
        <f>ROUND(SUMIF('6.0'!$D:$D,T_IS!D63,'6.0'!$N:$N),0)</f>
        <v>0</v>
      </c>
      <c r="S63" s="7">
        <f>ROUND(SUMIF('7.0'!$D:$D,T_IS!D63,'7.0'!$I:$I),0)</f>
        <v>0</v>
      </c>
      <c r="T63" s="7">
        <f>ROUND(SUMIF('8.0'!$D:$D,T_IS!F63,'8.0'!$H:$H),0)</f>
        <v>0</v>
      </c>
      <c r="U63" s="347">
        <f t="shared" si="12"/>
        <v>0</v>
      </c>
      <c r="W63" s="39">
        <f t="shared" si="13"/>
        <v>49223609</v>
      </c>
      <c r="Y63" s="7"/>
      <c r="Z63" s="39">
        <v>49223609</v>
      </c>
      <c r="AA63" s="7">
        <f t="shared" si="4"/>
        <v>0</v>
      </c>
      <c r="AB63" s="7"/>
      <c r="AC63" s="7">
        <v>0</v>
      </c>
      <c r="AD63" s="7">
        <v>0</v>
      </c>
      <c r="AE63" s="7">
        <v>0</v>
      </c>
      <c r="AF63" s="7">
        <v>0</v>
      </c>
      <c r="AG63" s="7">
        <v>0</v>
      </c>
    </row>
    <row r="64" spans="1:33" ht="18" customHeight="1">
      <c r="A64" s="7"/>
      <c r="D64" s="14" t="s">
        <v>291</v>
      </c>
      <c r="E64" s="6" t="s">
        <v>258</v>
      </c>
      <c r="F64" s="40">
        <v>319</v>
      </c>
      <c r="G64" s="6" t="s">
        <v>292</v>
      </c>
      <c r="H64" s="5">
        <v>9168661</v>
      </c>
      <c r="I64" s="7">
        <v>0</v>
      </c>
      <c r="J64" s="7">
        <v>1872420</v>
      </c>
      <c r="K64" s="15">
        <f t="shared" si="11"/>
        <v>11041081</v>
      </c>
      <c r="M64" s="345">
        <f>ROUND(SUMIF('1.0'!$D:$D,T_IS!D64,'1.0'!$N:$N),0)</f>
        <v>0</v>
      </c>
      <c r="N64" s="7">
        <f>ROUND(SUMIF('2.0'!$D:$D,T_IS!D64,'2.0'!$N:$N),0)</f>
        <v>0</v>
      </c>
      <c r="O64" s="7">
        <f>ROUND(SUMIF('3.0'!$D:$D,T_IS!D64,'3.0'!$H:$H),0)</f>
        <v>0</v>
      </c>
      <c r="P64" s="7">
        <f>ROUND(SUMIF('4.0'!$D:$D,T_IS!D64,'4.0'!$N:$N),0)</f>
        <v>0</v>
      </c>
      <c r="Q64" s="7">
        <f>ROUND(SUMIF('5.0'!$D:$D,T_IS!D64,'5.0'!$N:$N),0)</f>
        <v>0</v>
      </c>
      <c r="R64" s="7">
        <f>ROUND(SUMIF('6.0'!$D:$D,T_IS!D64,'6.0'!$N:$N),0)</f>
        <v>0</v>
      </c>
      <c r="S64" s="7">
        <f>ROUND(SUMIF('7.0'!$D:$D,T_IS!D64,'7.0'!$I:$I),0)</f>
        <v>0</v>
      </c>
      <c r="T64" s="7">
        <f>ROUND(SUMIF('8.0'!$D:$D,T_IS!F64,'8.0'!$H:$H),0)</f>
        <v>0</v>
      </c>
      <c r="U64" s="347">
        <f t="shared" si="12"/>
        <v>0</v>
      </c>
      <c r="W64" s="39">
        <f t="shared" si="13"/>
        <v>11041081</v>
      </c>
      <c r="Y64" s="7"/>
      <c r="Z64" s="39">
        <v>10947205</v>
      </c>
      <c r="AA64" s="7">
        <f t="shared" si="4"/>
        <v>93876</v>
      </c>
      <c r="AB64" s="7"/>
      <c r="AC64" s="7">
        <v>0</v>
      </c>
      <c r="AD64" s="7">
        <v>0</v>
      </c>
      <c r="AE64" s="7">
        <v>93876</v>
      </c>
      <c r="AF64" s="7">
        <v>0</v>
      </c>
      <c r="AG64" s="7">
        <v>93876</v>
      </c>
    </row>
    <row r="65" spans="1:33" ht="18" customHeight="1">
      <c r="A65" s="7"/>
      <c r="D65" s="14" t="s">
        <v>293</v>
      </c>
      <c r="E65" s="6" t="s">
        <v>258</v>
      </c>
      <c r="F65" s="40">
        <v>320</v>
      </c>
      <c r="G65" s="6" t="s">
        <v>294</v>
      </c>
      <c r="H65" s="5">
        <v>84918453</v>
      </c>
      <c r="I65" s="7">
        <v>1704945</v>
      </c>
      <c r="J65" s="7">
        <v>16208625</v>
      </c>
      <c r="K65" s="15">
        <f t="shared" si="11"/>
        <v>102832023</v>
      </c>
      <c r="M65" s="345">
        <f>ROUND(SUMIF('1.0'!$D:$D,T_IS!D65,'1.0'!$N:$N),0)</f>
        <v>0</v>
      </c>
      <c r="N65" s="7">
        <f>ROUND(SUMIF('2.0'!$D:$D,T_IS!D65,'2.0'!$N:$N),0)</f>
        <v>0</v>
      </c>
      <c r="O65" s="7">
        <f>ROUND(SUMIF('3.0'!$D:$D,T_IS!D65,'3.0'!$H:$H),0)</f>
        <v>0</v>
      </c>
      <c r="P65" s="7">
        <f>ROUND(SUMIF('4.0'!$D:$D,T_IS!D65,'4.0'!$N:$N),0)</f>
        <v>0</v>
      </c>
      <c r="Q65" s="7">
        <f>ROUND(SUMIF('5.0'!$D:$D,T_IS!D65,'5.0'!$N:$N),0)</f>
        <v>0</v>
      </c>
      <c r="R65" s="7">
        <f>ROUND(SUMIF('6.0'!$D:$D,T_IS!D65,'6.0'!$N:$N),0)</f>
        <v>0</v>
      </c>
      <c r="S65" s="7">
        <f>ROUND(SUMIF('7.0'!$D:$D,T_IS!D65,'7.0'!$I:$I),0)</f>
        <v>0</v>
      </c>
      <c r="T65" s="7">
        <f>ROUND(SUMIF('8.0'!$D:$D,T_IS!F65,'8.0'!$H:$H),0)</f>
        <v>0</v>
      </c>
      <c r="U65" s="347">
        <f t="shared" si="12"/>
        <v>0</v>
      </c>
      <c r="W65" s="39">
        <f t="shared" si="13"/>
        <v>102832023</v>
      </c>
      <c r="Y65" s="7"/>
      <c r="Z65" s="39">
        <v>102813248</v>
      </c>
      <c r="AA65" s="7">
        <f t="shared" si="4"/>
        <v>18775</v>
      </c>
      <c r="AB65" s="7"/>
      <c r="AC65" s="7">
        <v>0</v>
      </c>
      <c r="AD65" s="7">
        <v>0</v>
      </c>
      <c r="AE65" s="7">
        <v>18775</v>
      </c>
      <c r="AF65" s="7">
        <v>0</v>
      </c>
      <c r="AG65" s="7">
        <v>18775</v>
      </c>
    </row>
    <row r="66" spans="1:33" ht="18" customHeight="1">
      <c r="A66" s="7"/>
      <c r="D66" s="14" t="s">
        <v>295</v>
      </c>
      <c r="E66" s="6" t="s">
        <v>258</v>
      </c>
      <c r="F66" s="40">
        <v>321</v>
      </c>
      <c r="G66" s="6" t="s">
        <v>296</v>
      </c>
      <c r="H66" s="5">
        <v>11715144731</v>
      </c>
      <c r="I66" s="7">
        <v>32281733</v>
      </c>
      <c r="J66" s="7">
        <v>331974477</v>
      </c>
      <c r="K66" s="15">
        <f t="shared" si="11"/>
        <v>12079400941</v>
      </c>
      <c r="M66" s="345">
        <f>ROUND(SUMIF('1.0'!$D:$D,T_IS!D66,'1.0'!$N:$N),0)</f>
        <v>0</v>
      </c>
      <c r="N66" s="7">
        <f>ROUND(SUMIF('2.0'!$D:$D,T_IS!D66,'2.0'!$N:$N),0)</f>
        <v>0</v>
      </c>
      <c r="O66" s="7">
        <f>ROUND(SUMIF('3.0'!$D:$D,T_IS!D66,'3.0'!$H:$H),0)</f>
        <v>0</v>
      </c>
      <c r="P66" s="7">
        <f>ROUND(SUMIF('4.0'!$D:$D,T_IS!D66,'4.0'!$N:$N),0)</f>
        <v>0</v>
      </c>
      <c r="Q66" s="7">
        <f>ROUND(SUMIF('5.0'!$D:$D,T_IS!D66,'5.0'!$N:$N),0)</f>
        <v>0</v>
      </c>
      <c r="R66" s="7">
        <f>ROUND(SUMIF('6.0'!$D:$D,T_IS!D66,'6.0'!$N:$N),0)</f>
        <v>0</v>
      </c>
      <c r="S66" s="7">
        <f>ROUND(SUMIF('7.0'!$D:$D,T_IS!D66,'7.0'!$I:$I),0)</f>
        <v>0</v>
      </c>
      <c r="T66" s="7">
        <f>ROUND(SUMIF('8.0'!$D:$D,T_IS!F66,'8.0'!$H:$H),0)</f>
        <v>0</v>
      </c>
      <c r="U66" s="347">
        <f t="shared" si="12"/>
        <v>0</v>
      </c>
      <c r="W66" s="39">
        <f t="shared" si="13"/>
        <v>12079400941</v>
      </c>
      <c r="Y66" s="7"/>
      <c r="Z66" s="39">
        <v>12073078070</v>
      </c>
      <c r="AA66" s="7">
        <f t="shared" si="4"/>
        <v>6322871</v>
      </c>
      <c r="AB66" s="7"/>
      <c r="AC66" s="7">
        <v>100000</v>
      </c>
      <c r="AD66" s="7">
        <v>0</v>
      </c>
      <c r="AE66" s="7">
        <v>6222871</v>
      </c>
      <c r="AF66" s="7">
        <v>0</v>
      </c>
      <c r="AG66" s="7">
        <v>6322871</v>
      </c>
    </row>
    <row r="67" spans="1:33" ht="18" customHeight="1">
      <c r="A67" s="7"/>
      <c r="D67" s="14" t="s">
        <v>297</v>
      </c>
      <c r="E67" s="6" t="s">
        <v>258</v>
      </c>
      <c r="F67" s="40">
        <v>322</v>
      </c>
      <c r="G67" s="6" t="s">
        <v>298</v>
      </c>
      <c r="H67" s="5">
        <v>7371197151</v>
      </c>
      <c r="I67" s="7">
        <v>0</v>
      </c>
      <c r="J67" s="7">
        <v>135891110</v>
      </c>
      <c r="K67" s="15">
        <f t="shared" si="11"/>
        <v>7507088261</v>
      </c>
      <c r="M67" s="345">
        <f>ROUND(SUMIF('1.0'!$D:$D,T_IS!D67,'1.0'!$N:$N),0)</f>
        <v>0</v>
      </c>
      <c r="N67" s="7">
        <f>ROUND(SUMIF('2.0'!$D:$D,T_IS!D67,'2.0'!$N:$N),0)</f>
        <v>0</v>
      </c>
      <c r="O67" s="7">
        <f>ROUND(SUMIF('3.0'!$D:$D,T_IS!D67,'3.0'!$H:$H),0)</f>
        <v>0</v>
      </c>
      <c r="P67" s="7">
        <f>ROUND(SUMIF('4.0'!$D:$D,T_IS!D67,'4.0'!$N:$N),0)</f>
        <v>0</v>
      </c>
      <c r="Q67" s="7">
        <f>ROUND(SUMIF('5.0'!$D:$D,T_IS!D67,'5.0'!$N:$N),0)</f>
        <v>0</v>
      </c>
      <c r="R67" s="7">
        <f>ROUND(SUMIF('6.0'!$D:$D,T_IS!D67,'6.0'!$N:$N),0)</f>
        <v>0</v>
      </c>
      <c r="S67" s="7">
        <f>ROUND(SUMIF('7.0'!$D:$D,T_IS!D67,'7.0'!$I:$I),0)</f>
        <v>0</v>
      </c>
      <c r="T67" s="7">
        <f>ROUND(SUMIF('8.0'!$D:$D,T_IS!F67,'8.0'!$H:$H),0)</f>
        <v>0</v>
      </c>
      <c r="U67" s="347">
        <f t="shared" si="12"/>
        <v>0</v>
      </c>
      <c r="W67" s="39">
        <f t="shared" si="13"/>
        <v>7507088261</v>
      </c>
      <c r="Y67" s="7"/>
      <c r="Z67" s="39">
        <v>7507088261</v>
      </c>
      <c r="AA67" s="7">
        <f t="shared" si="4"/>
        <v>0</v>
      </c>
      <c r="AB67" s="7"/>
      <c r="AC67" s="7">
        <v>0</v>
      </c>
      <c r="AD67" s="7">
        <v>0</v>
      </c>
      <c r="AE67" s="7">
        <v>0</v>
      </c>
      <c r="AF67" s="7">
        <v>0</v>
      </c>
      <c r="AG67" s="7">
        <v>0</v>
      </c>
    </row>
    <row r="68" spans="1:33" ht="18" customHeight="1">
      <c r="A68" s="7"/>
      <c r="D68" s="14" t="s">
        <v>299</v>
      </c>
      <c r="E68" s="6" t="s">
        <v>258</v>
      </c>
      <c r="F68" s="40">
        <v>323</v>
      </c>
      <c r="G68" s="6" t="s">
        <v>300</v>
      </c>
      <c r="H68" s="5">
        <v>165746244</v>
      </c>
      <c r="I68" s="7">
        <v>0</v>
      </c>
      <c r="J68" s="7">
        <v>0</v>
      </c>
      <c r="K68" s="15">
        <f t="shared" si="11"/>
        <v>165746244</v>
      </c>
      <c r="M68" s="345">
        <f>ROUND(SUMIF('1.0'!$D:$D,T_IS!D68,'1.0'!$N:$N),0)</f>
        <v>0</v>
      </c>
      <c r="N68" s="7">
        <f>ROUND(SUMIF('2.0'!$D:$D,T_IS!D68,'2.0'!$N:$N),0)</f>
        <v>0</v>
      </c>
      <c r="O68" s="7">
        <f>ROUND(SUMIF('3.0'!$D:$D,T_IS!D68,'3.0'!$H:$H),0)</f>
        <v>0</v>
      </c>
      <c r="P68" s="7">
        <f>ROUND(SUMIF('4.0'!$D:$D,T_IS!D68,'4.0'!$N:$N),0)</f>
        <v>0</v>
      </c>
      <c r="Q68" s="7">
        <f>ROUND(SUMIF('5.0'!$D:$D,T_IS!D68,'5.0'!$N:$N),0)</f>
        <v>0</v>
      </c>
      <c r="R68" s="7">
        <f>ROUND(SUMIF('6.0'!$D:$D,T_IS!D68,'6.0'!$N:$N),0)</f>
        <v>0</v>
      </c>
      <c r="S68" s="7">
        <f>ROUND(SUMIF('7.0'!$D:$D,T_IS!D68,'7.0'!$I:$I),0)</f>
        <v>0</v>
      </c>
      <c r="T68" s="7">
        <f>ROUND(SUMIF('8.0'!$D:$D,T_IS!F68,'8.0'!$H:$H),0)</f>
        <v>0</v>
      </c>
      <c r="U68" s="347">
        <f t="shared" si="12"/>
        <v>0</v>
      </c>
      <c r="W68" s="39">
        <f t="shared" si="13"/>
        <v>165746244</v>
      </c>
      <c r="Y68" s="7"/>
      <c r="Z68" s="39">
        <v>165746244</v>
      </c>
      <c r="AA68" s="7">
        <f t="shared" si="4"/>
        <v>0</v>
      </c>
      <c r="AB68" s="7"/>
      <c r="AC68" s="7">
        <v>0</v>
      </c>
      <c r="AD68" s="7">
        <v>0</v>
      </c>
      <c r="AE68" s="7">
        <v>0</v>
      </c>
      <c r="AF68" s="7">
        <v>0</v>
      </c>
      <c r="AG68" s="7">
        <v>0</v>
      </c>
    </row>
    <row r="69" spans="1:33" ht="18" customHeight="1">
      <c r="A69" s="7"/>
      <c r="D69" s="14" t="s">
        <v>301</v>
      </c>
      <c r="E69" s="6" t="s">
        <v>258</v>
      </c>
      <c r="F69" s="40">
        <v>324</v>
      </c>
      <c r="G69" s="6" t="s">
        <v>302</v>
      </c>
      <c r="H69" s="5">
        <v>-93637734</v>
      </c>
      <c r="I69" s="7">
        <v>64654513</v>
      </c>
      <c r="J69" s="7">
        <v>0</v>
      </c>
      <c r="K69" s="15">
        <f t="shared" si="11"/>
        <v>-28983221</v>
      </c>
      <c r="M69" s="345">
        <f>ROUND(SUMIF('1.0'!$D:$D,T_IS!D69,'1.0'!$N:$N),0)</f>
        <v>0</v>
      </c>
      <c r="N69" s="7">
        <f>ROUND(SUMIF('2.0'!$D:$D,T_IS!D69,'2.0'!$N:$N),0)</f>
        <v>0</v>
      </c>
      <c r="O69" s="7">
        <f>ROUND(SUMIF('3.0'!$D:$D,T_IS!D69,'3.0'!$H:$H),0)</f>
        <v>0</v>
      </c>
      <c r="P69" s="7">
        <f>ROUND(SUMIF('4.0'!$D:$D,T_IS!D69,'4.0'!$N:$N),0)</f>
        <v>0</v>
      </c>
      <c r="Q69" s="7">
        <f>ROUND(SUMIF('5.0'!$D:$D,T_IS!D69,'5.0'!$N:$N),0)</f>
        <v>0</v>
      </c>
      <c r="R69" s="7">
        <f>ROUND(SUMIF('6.0'!$D:$D,T_IS!D69,'6.0'!$N:$N),0)</f>
        <v>0</v>
      </c>
      <c r="S69" s="7">
        <f>ROUND(SUMIF('7.0'!$D:$D,T_IS!D69,'7.0'!$I:$I),0)</f>
        <v>0</v>
      </c>
      <c r="T69" s="7">
        <f>ROUND(SUMIF('8.0'!$D:$D,T_IS!F69,'8.0'!$H:$H),0)</f>
        <v>0</v>
      </c>
      <c r="U69" s="347">
        <f t="shared" si="12"/>
        <v>0</v>
      </c>
      <c r="W69" s="39">
        <f t="shared" si="13"/>
        <v>-28983221</v>
      </c>
      <c r="Y69" s="7"/>
      <c r="Z69" s="39">
        <v>-482395938</v>
      </c>
      <c r="AA69" s="7">
        <f t="shared" si="4"/>
        <v>453412717</v>
      </c>
      <c r="AB69" s="7"/>
      <c r="AC69" s="7">
        <v>31054852</v>
      </c>
      <c r="AD69" s="7">
        <v>422357865</v>
      </c>
      <c r="AE69" s="7">
        <v>0</v>
      </c>
      <c r="AF69" s="7">
        <v>0</v>
      </c>
      <c r="AG69" s="7">
        <v>453412717</v>
      </c>
    </row>
    <row r="70" spans="1:33" ht="18" customHeight="1">
      <c r="A70" s="7"/>
      <c r="D70" s="14" t="s">
        <v>303</v>
      </c>
      <c r="E70" s="6" t="s">
        <v>258</v>
      </c>
      <c r="F70" s="40">
        <v>325</v>
      </c>
      <c r="G70" s="6" t="s">
        <v>304</v>
      </c>
      <c r="H70" s="5">
        <v>210896601</v>
      </c>
      <c r="I70" s="7">
        <v>110699</v>
      </c>
      <c r="J70" s="7">
        <v>0</v>
      </c>
      <c r="K70" s="15">
        <f t="shared" si="11"/>
        <v>211007300</v>
      </c>
      <c r="M70" s="345">
        <f>ROUND(SUMIF('1.0'!$D:$D,T_IS!D70,'1.0'!$N:$N),0)</f>
        <v>0</v>
      </c>
      <c r="N70" s="7">
        <f>ROUND(SUMIF('2.0'!$D:$D,T_IS!D70,'2.0'!$N:$N),0)</f>
        <v>0</v>
      </c>
      <c r="O70" s="7">
        <f>ROUND(SUMIF('3.0'!$D:$D,T_IS!D70,'3.0'!$H:$H),0)</f>
        <v>0</v>
      </c>
      <c r="P70" s="7">
        <f>ROUND(SUMIF('4.0'!$D:$D,T_IS!D70,'4.0'!$N:$N),0)</f>
        <v>0</v>
      </c>
      <c r="Q70" s="7">
        <f>ROUND(SUMIF('5.0'!$D:$D,T_IS!D70,'5.0'!$N:$N),0)</f>
        <v>0</v>
      </c>
      <c r="R70" s="7">
        <f>ROUND(SUMIF('6.0'!$D:$D,T_IS!D70,'6.0'!$N:$N),0)</f>
        <v>0</v>
      </c>
      <c r="S70" s="7">
        <f>ROUND(SUMIF('7.0'!$D:$D,T_IS!D70,'7.0'!$I:$I),0)</f>
        <v>0</v>
      </c>
      <c r="T70" s="7">
        <f>ROUND(SUMIF('8.0'!$D:$D,T_IS!F70,'8.0'!$H:$H),0)</f>
        <v>0</v>
      </c>
      <c r="U70" s="347">
        <f t="shared" si="12"/>
        <v>0</v>
      </c>
      <c r="W70" s="39">
        <f t="shared" si="13"/>
        <v>211007300</v>
      </c>
      <c r="Y70" s="7"/>
      <c r="Z70" s="39">
        <v>211007300</v>
      </c>
      <c r="AA70" s="7">
        <f t="shared" si="4"/>
        <v>0</v>
      </c>
      <c r="AB70" s="7"/>
      <c r="AC70" s="7">
        <v>0</v>
      </c>
      <c r="AD70" s="7">
        <v>0</v>
      </c>
      <c r="AE70" s="7">
        <v>0</v>
      </c>
      <c r="AF70" s="7">
        <v>0</v>
      </c>
      <c r="AG70" s="7">
        <v>0</v>
      </c>
    </row>
    <row r="71" spans="1:33" ht="18" customHeight="1">
      <c r="A71" s="7"/>
      <c r="D71" s="14" t="s">
        <v>305</v>
      </c>
      <c r="E71" s="6" t="s">
        <v>258</v>
      </c>
      <c r="F71" s="40">
        <v>327</v>
      </c>
      <c r="G71" s="6" t="s">
        <v>306</v>
      </c>
      <c r="H71" s="5">
        <v>242307586</v>
      </c>
      <c r="I71" s="7">
        <v>0</v>
      </c>
      <c r="J71" s="7">
        <v>2912125</v>
      </c>
      <c r="K71" s="15">
        <f t="shared" si="11"/>
        <v>245219711</v>
      </c>
      <c r="M71" s="345">
        <f>ROUND(SUMIF('1.0'!$D:$D,T_IS!D71,'1.0'!$N:$N),0)</f>
        <v>0</v>
      </c>
      <c r="N71" s="7">
        <f>ROUND(SUMIF('2.0'!$D:$D,T_IS!D71,'2.0'!$N:$N),0)</f>
        <v>0</v>
      </c>
      <c r="O71" s="7">
        <f>ROUND(SUMIF('3.0'!$D:$D,T_IS!D71,'3.0'!$H:$H),0)</f>
        <v>0</v>
      </c>
      <c r="P71" s="7">
        <f>ROUND(SUMIF('4.0'!$D:$D,T_IS!D71,'4.0'!$N:$N),0)</f>
        <v>0</v>
      </c>
      <c r="Q71" s="7">
        <f>ROUND(SUMIF('5.0'!$D:$D,T_IS!D71,'5.0'!$N:$N),0)</f>
        <v>0</v>
      </c>
      <c r="R71" s="7">
        <f>ROUND(SUMIF('6.0'!$D:$D,T_IS!D71,'6.0'!$N:$N),0)</f>
        <v>0</v>
      </c>
      <c r="S71" s="7">
        <f>ROUND(SUMIF('7.0'!$D:$D,T_IS!D71,'7.0'!$I:$I),0)</f>
        <v>0</v>
      </c>
      <c r="T71" s="7">
        <f>ROUND(SUMIF('8.0'!$D:$D,T_IS!F71,'8.0'!$H:$H),0)</f>
        <v>0</v>
      </c>
      <c r="U71" s="347">
        <f t="shared" si="12"/>
        <v>0</v>
      </c>
      <c r="W71" s="39">
        <f t="shared" si="13"/>
        <v>245219711</v>
      </c>
      <c r="Y71" s="7"/>
      <c r="Z71" s="39">
        <v>245096159</v>
      </c>
      <c r="AA71" s="7">
        <f t="shared" ref="AA71:AA124" si="14">W71-Z71</f>
        <v>123552</v>
      </c>
      <c r="AB71" s="7"/>
      <c r="AC71" s="7">
        <v>123552</v>
      </c>
      <c r="AD71" s="7">
        <v>0</v>
      </c>
      <c r="AE71" s="7">
        <v>0</v>
      </c>
      <c r="AF71" s="7">
        <v>0</v>
      </c>
      <c r="AG71" s="7">
        <v>123552</v>
      </c>
    </row>
    <row r="72" spans="1:33" ht="18" customHeight="1">
      <c r="A72" s="7"/>
      <c r="D72" s="14" t="s">
        <v>307</v>
      </c>
      <c r="E72" s="6" t="s">
        <v>258</v>
      </c>
      <c r="F72" s="40">
        <v>328</v>
      </c>
      <c r="G72" s="6" t="s">
        <v>308</v>
      </c>
      <c r="H72" s="5">
        <v>558696521</v>
      </c>
      <c r="I72" s="7">
        <v>0</v>
      </c>
      <c r="J72" s="7">
        <v>1487060</v>
      </c>
      <c r="K72" s="15">
        <f t="shared" si="11"/>
        <v>560183581</v>
      </c>
      <c r="M72" s="345">
        <f>ROUND(SUMIF('1.0'!$D:$D,T_IS!D72,'1.0'!$N:$N),0)</f>
        <v>0</v>
      </c>
      <c r="N72" s="7">
        <f>ROUND(SUMIF('2.0'!$D:$D,T_IS!D72,'2.0'!$N:$N),0)</f>
        <v>0</v>
      </c>
      <c r="O72" s="7">
        <f>ROUND(SUMIF('3.0'!$D:$D,T_IS!D72,'3.0'!$H:$H),0)</f>
        <v>0</v>
      </c>
      <c r="P72" s="7">
        <f>ROUND(SUMIF('4.0'!$D:$D,T_IS!D72,'4.0'!$N:$N),0)</f>
        <v>0</v>
      </c>
      <c r="Q72" s="7">
        <f>ROUND(SUMIF('5.0'!$D:$D,T_IS!D72,'5.0'!$N:$N),0)</f>
        <v>0</v>
      </c>
      <c r="R72" s="7">
        <f>ROUND(SUMIF('6.0'!$D:$D,T_IS!D72,'6.0'!$N:$N),0)</f>
        <v>0</v>
      </c>
      <c r="S72" s="7">
        <f>ROUND(SUMIF('7.0'!$D:$D,T_IS!D72,'7.0'!$I:$I),0)</f>
        <v>0</v>
      </c>
      <c r="T72" s="7">
        <f>ROUND(SUMIF('8.0'!$D:$D,T_IS!F72,'8.0'!$H:$H),0)</f>
        <v>0</v>
      </c>
      <c r="U72" s="347">
        <f t="shared" si="12"/>
        <v>0</v>
      </c>
      <c r="W72" s="39">
        <f t="shared" si="13"/>
        <v>560183581</v>
      </c>
      <c r="Y72" s="7"/>
      <c r="Z72" s="39">
        <v>560183581</v>
      </c>
      <c r="AA72" s="7">
        <f t="shared" si="14"/>
        <v>0</v>
      </c>
      <c r="AB72" s="7"/>
      <c r="AC72" s="7">
        <v>0</v>
      </c>
      <c r="AD72" s="7">
        <v>0</v>
      </c>
      <c r="AE72" s="7">
        <v>0</v>
      </c>
      <c r="AF72" s="7">
        <v>0</v>
      </c>
      <c r="AG72" s="7">
        <v>0</v>
      </c>
    </row>
    <row r="73" spans="1:33" ht="18" customHeight="1">
      <c r="A73" s="7"/>
      <c r="D73" s="14" t="s">
        <v>309</v>
      </c>
      <c r="E73" s="6" t="s">
        <v>258</v>
      </c>
      <c r="F73" s="40">
        <v>331</v>
      </c>
      <c r="G73" s="6" t="s">
        <v>310</v>
      </c>
      <c r="H73" s="5">
        <v>15816486</v>
      </c>
      <c r="I73" s="7">
        <v>0</v>
      </c>
      <c r="J73" s="7">
        <v>0</v>
      </c>
      <c r="K73" s="15">
        <f t="shared" si="11"/>
        <v>15816486</v>
      </c>
      <c r="M73" s="345">
        <f>ROUND(SUMIF('1.0'!$D:$D,T_IS!D73,'1.0'!$N:$N),0)</f>
        <v>0</v>
      </c>
      <c r="N73" s="7">
        <f>ROUND(SUMIF('2.0'!$D:$D,T_IS!D73,'2.0'!$N:$N),0)</f>
        <v>0</v>
      </c>
      <c r="O73" s="7">
        <f>ROUND(SUMIF('3.0'!$D:$D,T_IS!D73,'3.0'!$H:$H),0)</f>
        <v>0</v>
      </c>
      <c r="P73" s="7">
        <f>ROUND(SUMIF('4.0'!$D:$D,T_IS!D73,'4.0'!$N:$N),0)</f>
        <v>0</v>
      </c>
      <c r="Q73" s="7">
        <f>ROUND(SUMIF('5.0'!$D:$D,T_IS!D73,'5.0'!$N:$N),0)</f>
        <v>0</v>
      </c>
      <c r="R73" s="7">
        <f>ROUND(SUMIF('6.0'!$D:$D,T_IS!D73,'6.0'!$N:$N),0)</f>
        <v>0</v>
      </c>
      <c r="S73" s="7">
        <f>ROUND(SUMIF('7.0'!$D:$D,T_IS!D73,'7.0'!$I:$I),0)</f>
        <v>0</v>
      </c>
      <c r="T73" s="7">
        <f>ROUND(SUMIF('8.0'!$D:$D,T_IS!F73,'8.0'!$H:$H),0)</f>
        <v>0</v>
      </c>
      <c r="U73" s="347">
        <f t="shared" si="12"/>
        <v>0</v>
      </c>
      <c r="W73" s="39">
        <f t="shared" si="13"/>
        <v>15816486</v>
      </c>
      <c r="Y73" s="7"/>
      <c r="Z73" s="39">
        <v>15816486</v>
      </c>
      <c r="AA73" s="7">
        <f t="shared" si="14"/>
        <v>0</v>
      </c>
      <c r="AB73" s="7"/>
      <c r="AC73" s="7">
        <v>0</v>
      </c>
      <c r="AD73" s="7">
        <v>0</v>
      </c>
      <c r="AE73" s="7">
        <v>0</v>
      </c>
      <c r="AF73" s="7">
        <v>0</v>
      </c>
      <c r="AG73" s="7">
        <v>0</v>
      </c>
    </row>
    <row r="74" spans="1:33" ht="18" customHeight="1">
      <c r="A74" s="7"/>
      <c r="D74" s="14" t="s">
        <v>311</v>
      </c>
      <c r="E74" s="6" t="s">
        <v>258</v>
      </c>
      <c r="F74" s="40">
        <v>329</v>
      </c>
      <c r="G74" s="6" t="s">
        <v>312</v>
      </c>
      <c r="H74" s="5">
        <v>1136232904</v>
      </c>
      <c r="I74" s="7">
        <v>2288910</v>
      </c>
      <c r="J74" s="7">
        <v>52244693</v>
      </c>
      <c r="K74" s="15">
        <f t="shared" si="11"/>
        <v>1190766507</v>
      </c>
      <c r="M74" s="345">
        <f>ROUND(SUMIF('1.0'!$D:$D,T_IS!D74,'1.0'!$N:$N),0)</f>
        <v>0</v>
      </c>
      <c r="N74" s="7">
        <f>ROUND(SUMIF('2.0'!$D:$D,T_IS!D74,'2.0'!$N:$N),0)</f>
        <v>0</v>
      </c>
      <c r="O74" s="7">
        <f>ROUND(SUMIF('3.0'!$D:$D,T_IS!D74,'3.0'!$H:$H),0)</f>
        <v>0</v>
      </c>
      <c r="P74" s="7">
        <f>ROUND(SUMIF('4.0'!$D:$D,T_IS!D74,'4.0'!$N:$N),0)</f>
        <v>0</v>
      </c>
      <c r="Q74" s="7">
        <f>ROUND(SUMIF('5.0'!$D:$D,T_IS!D74,'5.0'!$N:$N),0)</f>
        <v>0</v>
      </c>
      <c r="R74" s="7">
        <f>ROUND(SUMIF('6.0'!$D:$D,T_IS!D74,'6.0'!$N:$N),0)</f>
        <v>0</v>
      </c>
      <c r="S74" s="7">
        <f>ROUND(SUMIF('7.0'!$D:$D,T_IS!D74,'7.0'!$I:$I),0)</f>
        <v>0</v>
      </c>
      <c r="T74" s="7">
        <f>ROUND(SUMIF('8.0'!$D:$D,T_IS!F74,'8.0'!$H:$H),0)</f>
        <v>0</v>
      </c>
      <c r="U74" s="347">
        <f t="shared" si="12"/>
        <v>0</v>
      </c>
      <c r="W74" s="39">
        <f t="shared" si="13"/>
        <v>1190766507</v>
      </c>
      <c r="Y74" s="7"/>
      <c r="Z74" s="39">
        <v>1193000305</v>
      </c>
      <c r="AA74" s="7">
        <f t="shared" si="14"/>
        <v>-2233798</v>
      </c>
      <c r="AB74" s="7"/>
      <c r="AC74" s="7">
        <v>-2233798</v>
      </c>
      <c r="AD74" s="7">
        <v>0</v>
      </c>
      <c r="AE74" s="7">
        <v>0</v>
      </c>
      <c r="AF74" s="7">
        <v>0</v>
      </c>
      <c r="AG74" s="7">
        <v>-2233798</v>
      </c>
    </row>
    <row r="75" spans="1:33" ht="18" customHeight="1">
      <c r="A75" s="7"/>
      <c r="D75" s="12"/>
      <c r="E75" s="31"/>
      <c r="F75" s="286"/>
      <c r="G75" s="31" t="s">
        <v>313</v>
      </c>
      <c r="H75" s="479">
        <f>H36-H37</f>
        <v>-8688893243</v>
      </c>
      <c r="I75" s="446">
        <f>I36-I37</f>
        <v>-1412556972</v>
      </c>
      <c r="J75" s="446">
        <f>J36-J37</f>
        <v>-1039056524</v>
      </c>
      <c r="K75" s="461">
        <f>K36-K37</f>
        <v>-11140506739</v>
      </c>
      <c r="M75" s="656">
        <f t="shared" ref="M75:U75" si="15">M36-M37</f>
        <v>0</v>
      </c>
      <c r="N75" s="446">
        <f t="shared" si="15"/>
        <v>0</v>
      </c>
      <c r="O75" s="446">
        <f t="shared" si="15"/>
        <v>0</v>
      </c>
      <c r="P75" s="446">
        <f t="shared" si="15"/>
        <v>-28546061</v>
      </c>
      <c r="Q75" s="446">
        <f t="shared" si="15"/>
        <v>-719869189</v>
      </c>
      <c r="R75" s="446">
        <f t="shared" si="15"/>
        <v>0</v>
      </c>
      <c r="S75" s="446">
        <f t="shared" si="15"/>
        <v>0</v>
      </c>
      <c r="T75" s="446">
        <f t="shared" si="15"/>
        <v>0</v>
      </c>
      <c r="U75" s="657">
        <f t="shared" si="15"/>
        <v>-748415250</v>
      </c>
      <c r="W75" s="33">
        <f>W36-W37</f>
        <v>-11888921989</v>
      </c>
      <c r="Y75" s="7"/>
      <c r="Z75" s="33">
        <v>-11109795096</v>
      </c>
      <c r="AA75" s="7">
        <f t="shared" si="14"/>
        <v>-779126893</v>
      </c>
      <c r="AB75" s="7"/>
      <c r="AC75" s="7">
        <v>-285368059</v>
      </c>
      <c r="AD75" s="7">
        <v>-486288</v>
      </c>
      <c r="AE75" s="7">
        <v>-74757546</v>
      </c>
      <c r="AF75" s="7">
        <v>113485000</v>
      </c>
      <c r="AG75" s="7">
        <v>-247126893</v>
      </c>
    </row>
    <row r="76" spans="1:33" ht="18" customHeight="1">
      <c r="A76" s="7"/>
      <c r="D76" s="13"/>
      <c r="E76" s="34"/>
      <c r="F76" s="291"/>
      <c r="G76" s="34" t="s">
        <v>314</v>
      </c>
      <c r="H76" s="484">
        <f>SUM(H77:H85)</f>
        <v>977113957</v>
      </c>
      <c r="I76" s="417">
        <f>SUM(I77:I85)</f>
        <v>67247206</v>
      </c>
      <c r="J76" s="417">
        <f>SUM(J77:J85)</f>
        <v>589931</v>
      </c>
      <c r="K76" s="645">
        <f>SUM(K77:K85)</f>
        <v>1044951094</v>
      </c>
      <c r="M76" s="659">
        <f t="shared" ref="M76:U76" si="16">SUM(M77:M85)</f>
        <v>0</v>
      </c>
      <c r="N76" s="417">
        <f t="shared" si="16"/>
        <v>0</v>
      </c>
      <c r="O76" s="417">
        <f t="shared" si="16"/>
        <v>-8564195</v>
      </c>
      <c r="P76" s="417">
        <f t="shared" si="16"/>
        <v>0</v>
      </c>
      <c r="Q76" s="417">
        <f t="shared" si="16"/>
        <v>0</v>
      </c>
      <c r="R76" s="417">
        <f t="shared" si="16"/>
        <v>0</v>
      </c>
      <c r="S76" s="417">
        <f t="shared" si="16"/>
        <v>0</v>
      </c>
      <c r="T76" s="417">
        <f t="shared" si="16"/>
        <v>0</v>
      </c>
      <c r="U76" s="660">
        <f t="shared" si="16"/>
        <v>-8564195</v>
      </c>
      <c r="W76" s="36">
        <f>SUM(W77:W85)</f>
        <v>1036386899</v>
      </c>
      <c r="Y76" s="7"/>
      <c r="Z76" s="36">
        <v>1045966130</v>
      </c>
      <c r="AA76" s="7">
        <f t="shared" si="14"/>
        <v>-9579231</v>
      </c>
      <c r="AB76" s="7"/>
      <c r="AC76" s="7">
        <v>-9579231</v>
      </c>
      <c r="AD76" s="7">
        <v>0</v>
      </c>
      <c r="AE76" s="7">
        <v>0</v>
      </c>
      <c r="AF76" s="7">
        <v>0</v>
      </c>
      <c r="AG76" s="7">
        <v>-9579231</v>
      </c>
    </row>
    <row r="77" spans="1:33" ht="18" customHeight="1">
      <c r="A77" s="7"/>
      <c r="D77" s="14" t="s">
        <v>315</v>
      </c>
      <c r="E77" s="6" t="s">
        <v>314</v>
      </c>
      <c r="F77" s="40">
        <v>401</v>
      </c>
      <c r="G77" s="6" t="s">
        <v>316</v>
      </c>
      <c r="H77" s="5">
        <v>545825284</v>
      </c>
      <c r="I77" s="7">
        <v>0</v>
      </c>
      <c r="J77" s="7">
        <v>71620</v>
      </c>
      <c r="K77" s="15">
        <f t="shared" ref="K77:K85" si="17">SUM(H77:J77)</f>
        <v>545896904</v>
      </c>
      <c r="M77" s="345">
        <f>-ROUND(SUMIF('1.0'!$D:$D,T_IS!D77,'1.0'!$N:$N),0)</f>
        <v>0</v>
      </c>
      <c r="N77" s="7">
        <f>-ROUND(SUMIF('2.0'!$D:$D,T_IS!D77,'2.0'!$N:$N),0)</f>
        <v>0</v>
      </c>
      <c r="O77" s="7">
        <f>-ROUND(SUMIF('3.0'!$D:$D,T_IS!D77,'3.0'!$H:$H),0)</f>
        <v>0</v>
      </c>
      <c r="P77" s="7">
        <f>-ROUND(SUMIF('4.0'!$D:$D,T_IS!D77,'4.0'!$N:$N),0)</f>
        <v>0</v>
      </c>
      <c r="Q77" s="7">
        <f>-ROUND(SUMIF('5.0'!$D:$D,T_IS!D77,'5.0'!$N:$N),0)</f>
        <v>0</v>
      </c>
      <c r="R77" s="7">
        <f>ROUND(SUMIF('6.0'!$D:$D,T_IS!D77,'6.0'!$N:$N),0)</f>
        <v>0</v>
      </c>
      <c r="S77" s="7">
        <f>-ROUND(SUMIF('7.0'!$D:$D,T_IS!D77,'7.0'!$I:$I),0)</f>
        <v>0</v>
      </c>
      <c r="T77" s="7">
        <f>-ROUND(SUMIF('8.0'!$D:$D,T_IS!F77,'8.0'!$H:$H),0)</f>
        <v>0</v>
      </c>
      <c r="U77" s="347">
        <f t="shared" ref="U77:U85" si="18">SUM(M77:T77)</f>
        <v>0</v>
      </c>
      <c r="W77" s="39">
        <f t="shared" ref="W77:W85" si="19">U77+K77</f>
        <v>545896904</v>
      </c>
      <c r="Y77" s="7"/>
      <c r="Z77" s="39">
        <v>545896904</v>
      </c>
      <c r="AA77" s="7">
        <f t="shared" si="14"/>
        <v>0</v>
      </c>
      <c r="AB77" s="7"/>
      <c r="AC77" s="7">
        <v>0</v>
      </c>
      <c r="AD77" s="7">
        <v>0</v>
      </c>
      <c r="AE77" s="7">
        <v>0</v>
      </c>
      <c r="AF77" s="7">
        <v>0</v>
      </c>
      <c r="AG77" s="7">
        <v>0</v>
      </c>
    </row>
    <row r="78" spans="1:33" ht="18" customHeight="1">
      <c r="A78" s="7"/>
      <c r="D78" s="14" t="s">
        <v>317</v>
      </c>
      <c r="E78" s="6" t="s">
        <v>314</v>
      </c>
      <c r="F78" s="40">
        <v>401</v>
      </c>
      <c r="G78" s="6" t="s">
        <v>318</v>
      </c>
      <c r="H78" s="5">
        <v>58542507</v>
      </c>
      <c r="I78" s="7">
        <v>-395461</v>
      </c>
      <c r="J78" s="7">
        <v>0</v>
      </c>
      <c r="K78" s="15">
        <f t="shared" si="17"/>
        <v>58147046</v>
      </c>
      <c r="M78" s="345">
        <f>-ROUND(SUMIF('1.0'!$D:$D,T_IS!D78,'1.0'!$N:$N),0)</f>
        <v>0</v>
      </c>
      <c r="N78" s="7">
        <f>-ROUND(SUMIF('2.0'!$D:$D,T_IS!D78,'2.0'!$N:$N),0)</f>
        <v>0</v>
      </c>
      <c r="O78" s="7">
        <f>-ROUND(SUMIF('3.0'!$D:$D,T_IS!D78,'3.0'!$H:$H),0)</f>
        <v>-8564195</v>
      </c>
      <c r="P78" s="7">
        <f>-ROUND(SUMIF('4.0'!$D:$D,T_IS!D78,'4.0'!$N:$N),0)</f>
        <v>0</v>
      </c>
      <c r="Q78" s="7">
        <f>-ROUND(SUMIF('5.0'!$D:$D,T_IS!D78,'5.0'!$N:$N),0)</f>
        <v>0</v>
      </c>
      <c r="R78" s="7">
        <f>ROUND(SUMIF('6.0'!$D:$D,T_IS!D78,'6.0'!$N:$N),0)</f>
        <v>0</v>
      </c>
      <c r="S78" s="7">
        <f>-ROUND(SUMIF('7.0'!$D:$D,T_IS!D78,'7.0'!$I:$I),0)</f>
        <v>0</v>
      </c>
      <c r="T78" s="7">
        <f>-ROUND(SUMIF('8.0'!$D:$D,T_IS!F78,'8.0'!$H:$H),0)</f>
        <v>0</v>
      </c>
      <c r="U78" s="347">
        <f t="shared" si="18"/>
        <v>-8564195</v>
      </c>
      <c r="W78" s="39">
        <f t="shared" si="19"/>
        <v>49582851</v>
      </c>
      <c r="Y78" s="7"/>
      <c r="Z78" s="39">
        <v>49582851</v>
      </c>
      <c r="AA78" s="7">
        <f t="shared" si="14"/>
        <v>0</v>
      </c>
      <c r="AB78" s="7"/>
      <c r="AC78" s="7">
        <v>0</v>
      </c>
      <c r="AD78" s="7">
        <v>0</v>
      </c>
      <c r="AE78" s="7">
        <v>0</v>
      </c>
      <c r="AF78" s="7">
        <v>0</v>
      </c>
      <c r="AG78" s="7">
        <v>0</v>
      </c>
    </row>
    <row r="79" spans="1:33" ht="18" customHeight="1">
      <c r="A79" s="7"/>
      <c r="D79" s="14" t="s">
        <v>319</v>
      </c>
      <c r="E79" s="6" t="s">
        <v>314</v>
      </c>
      <c r="F79" s="40">
        <v>402</v>
      </c>
      <c r="G79" s="6" t="s">
        <v>320</v>
      </c>
      <c r="H79" s="5">
        <v>0</v>
      </c>
      <c r="I79" s="7">
        <v>0</v>
      </c>
      <c r="J79" s="7">
        <v>0</v>
      </c>
      <c r="K79" s="15">
        <f t="shared" si="17"/>
        <v>0</v>
      </c>
      <c r="M79" s="345">
        <f>-ROUND(SUMIF('1.0'!$D:$D,T_IS!D79,'1.0'!$N:$N),0)</f>
        <v>0</v>
      </c>
      <c r="N79" s="7">
        <f>-ROUND(SUMIF('2.0'!$D:$D,T_IS!D79,'2.0'!$N:$N),0)</f>
        <v>0</v>
      </c>
      <c r="O79" s="7">
        <f>-ROUND(SUMIF('3.0'!$D:$D,T_IS!D79,'3.0'!$H:$H),0)</f>
        <v>0</v>
      </c>
      <c r="P79" s="7">
        <f>-ROUND(SUMIF('4.0'!$D:$D,T_IS!D79,'4.0'!$N:$N),0)</f>
        <v>0</v>
      </c>
      <c r="Q79" s="7">
        <f>-ROUND(SUMIF('5.0'!$D:$D,T_IS!D79,'5.0'!$N:$N),0)</f>
        <v>0</v>
      </c>
      <c r="R79" s="7">
        <f>ROUND(SUMIF('6.0'!$D:$D,T_IS!D79,'6.0'!$N:$N),0)</f>
        <v>0</v>
      </c>
      <c r="S79" s="7">
        <f>-ROUND(SUMIF('7.0'!$D:$D,T_IS!D79,'7.0'!$I:$I),0)</f>
        <v>0</v>
      </c>
      <c r="T79" s="7">
        <f>-ROUND(SUMIF('8.0'!$D:$D,T_IS!F79,'8.0'!$H:$H),0)</f>
        <v>0</v>
      </c>
      <c r="U79" s="347">
        <f t="shared" si="18"/>
        <v>0</v>
      </c>
      <c r="W79" s="39">
        <f t="shared" si="19"/>
        <v>0</v>
      </c>
      <c r="Y79" s="7"/>
      <c r="Z79" s="39">
        <v>0</v>
      </c>
      <c r="AA79" s="7">
        <f t="shared" si="14"/>
        <v>0</v>
      </c>
      <c r="AB79" s="7"/>
      <c r="AC79" s="7">
        <v>0</v>
      </c>
      <c r="AD79" s="7">
        <v>0</v>
      </c>
      <c r="AE79" s="7">
        <v>0</v>
      </c>
      <c r="AF79" s="7">
        <v>0</v>
      </c>
      <c r="AG79" s="7">
        <v>0</v>
      </c>
    </row>
    <row r="80" spans="1:33" ht="18" customHeight="1">
      <c r="A80" s="7"/>
      <c r="D80" s="14" t="s">
        <v>321</v>
      </c>
      <c r="E80" s="6" t="s">
        <v>314</v>
      </c>
      <c r="F80" s="40">
        <v>402</v>
      </c>
      <c r="G80" s="6" t="s">
        <v>322</v>
      </c>
      <c r="H80" s="5">
        <v>211571369</v>
      </c>
      <c r="I80" s="7">
        <v>67642667</v>
      </c>
      <c r="J80" s="7">
        <v>518311</v>
      </c>
      <c r="K80" s="15">
        <f t="shared" si="17"/>
        <v>279732347</v>
      </c>
      <c r="M80" s="345">
        <f>-ROUND(SUMIF('1.0'!$D:$D,T_IS!D80,'1.0'!$N:$N),0)</f>
        <v>0</v>
      </c>
      <c r="N80" s="7">
        <f>-ROUND(SUMIF('2.0'!$D:$D,T_IS!D80,'2.0'!$N:$N),0)</f>
        <v>0</v>
      </c>
      <c r="O80" s="7">
        <f>-ROUND(SUMIF('3.0'!$D:$D,T_IS!D80,'3.0'!$H:$H),0)</f>
        <v>0</v>
      </c>
      <c r="P80" s="7">
        <f>-ROUND(SUMIF('4.0'!$D:$D,T_IS!D80,'4.0'!$N:$N),0)</f>
        <v>0</v>
      </c>
      <c r="Q80" s="7">
        <f>-ROUND(SUMIF('5.0'!$D:$D,T_IS!D80,'5.0'!$N:$N),0)</f>
        <v>0</v>
      </c>
      <c r="R80" s="7">
        <f>ROUND(SUMIF('6.0'!$D:$D,T_IS!D80,'6.0'!$N:$N),0)</f>
        <v>0</v>
      </c>
      <c r="S80" s="7">
        <f>-ROUND(SUMIF('7.0'!$D:$D,T_IS!D80,'7.0'!$I:$I),0)</f>
        <v>0</v>
      </c>
      <c r="T80" s="7">
        <f>-ROUND(SUMIF('8.0'!$D:$D,T_IS!F80,'8.0'!$H:$H),0)</f>
        <v>0</v>
      </c>
      <c r="U80" s="347">
        <f t="shared" si="18"/>
        <v>0</v>
      </c>
      <c r="W80" s="39">
        <f t="shared" si="19"/>
        <v>279732347</v>
      </c>
      <c r="Y80" s="7"/>
      <c r="Z80" s="39">
        <v>279628439</v>
      </c>
      <c r="AA80" s="7">
        <f t="shared" si="14"/>
        <v>103908</v>
      </c>
      <c r="AB80" s="7"/>
      <c r="AC80" s="7">
        <v>103908</v>
      </c>
      <c r="AD80" s="7">
        <v>0</v>
      </c>
      <c r="AE80" s="7">
        <v>0</v>
      </c>
      <c r="AF80" s="7">
        <v>0</v>
      </c>
      <c r="AG80" s="7">
        <v>103908</v>
      </c>
    </row>
    <row r="81" spans="1:33" ht="18" customHeight="1">
      <c r="A81" s="7"/>
      <c r="D81" s="14" t="s">
        <v>323</v>
      </c>
      <c r="E81" s="6" t="s">
        <v>314</v>
      </c>
      <c r="F81" s="40">
        <v>402</v>
      </c>
      <c r="G81" s="6" t="s">
        <v>324</v>
      </c>
      <c r="H81" s="5">
        <v>112196721</v>
      </c>
      <c r="I81" s="7">
        <v>0</v>
      </c>
      <c r="J81" s="7">
        <v>0</v>
      </c>
      <c r="K81" s="15">
        <f t="shared" si="17"/>
        <v>112196721</v>
      </c>
      <c r="M81" s="345">
        <f>-ROUND(SUMIF('1.0'!$D:$D,T_IS!D81,'1.0'!$N:$N),0)</f>
        <v>0</v>
      </c>
      <c r="N81" s="7">
        <f>-ROUND(SUMIF('2.0'!$D:$D,T_IS!D81,'2.0'!$N:$N),0)</f>
        <v>0</v>
      </c>
      <c r="O81" s="7">
        <f>-ROUND(SUMIF('3.0'!$D:$D,T_IS!D81,'3.0'!$H:$H),0)</f>
        <v>0</v>
      </c>
      <c r="P81" s="7">
        <f>-ROUND(SUMIF('4.0'!$D:$D,T_IS!D81,'4.0'!$N:$N),0)</f>
        <v>0</v>
      </c>
      <c r="Q81" s="7">
        <f>-ROUND(SUMIF('5.0'!$D:$D,T_IS!D81,'5.0'!$N:$N),0)</f>
        <v>0</v>
      </c>
      <c r="R81" s="7">
        <f>ROUND(SUMIF('6.0'!$D:$D,T_IS!D81,'6.0'!$N:$N),0)</f>
        <v>0</v>
      </c>
      <c r="S81" s="7">
        <f>-ROUND(SUMIF('7.0'!$D:$D,T_IS!D81,'7.0'!$I:$I),0)</f>
        <v>0</v>
      </c>
      <c r="T81" s="7">
        <f>-ROUND(SUMIF('8.0'!$D:$D,T_IS!F81,'8.0'!$H:$H),0)</f>
        <v>0</v>
      </c>
      <c r="U81" s="347">
        <f t="shared" si="18"/>
        <v>0</v>
      </c>
      <c r="W81" s="39">
        <f t="shared" si="19"/>
        <v>112196721</v>
      </c>
      <c r="Y81" s="7"/>
      <c r="Z81" s="39">
        <v>112196721</v>
      </c>
      <c r="AA81" s="7">
        <f t="shared" si="14"/>
        <v>0</v>
      </c>
      <c r="AB81" s="7"/>
      <c r="AC81" s="7">
        <v>0</v>
      </c>
      <c r="AD81" s="7">
        <v>0</v>
      </c>
      <c r="AE81" s="7">
        <v>0</v>
      </c>
      <c r="AF81" s="7">
        <v>0</v>
      </c>
      <c r="AG81" s="7">
        <v>0</v>
      </c>
    </row>
    <row r="82" spans="1:33" ht="18" customHeight="1">
      <c r="A82" s="7"/>
      <c r="D82" s="14" t="s">
        <v>325</v>
      </c>
      <c r="E82" s="6" t="s">
        <v>314</v>
      </c>
      <c r="F82" s="40">
        <v>403</v>
      </c>
      <c r="G82" s="6" t="s">
        <v>326</v>
      </c>
      <c r="H82" s="5">
        <v>-9390546</v>
      </c>
      <c r="I82" s="7">
        <v>0</v>
      </c>
      <c r="J82" s="7">
        <v>0</v>
      </c>
      <c r="K82" s="15">
        <f t="shared" si="17"/>
        <v>-9390546</v>
      </c>
      <c r="M82" s="345">
        <f>-ROUND(SUMIF('1.0'!$D:$D,T_IS!D82,'1.0'!$N:$N),0)</f>
        <v>0</v>
      </c>
      <c r="N82" s="7">
        <f>-ROUND(SUMIF('2.0'!$D:$D,T_IS!D82,'2.0'!$N:$N),0)</f>
        <v>0</v>
      </c>
      <c r="O82" s="7">
        <f>-ROUND(SUMIF('3.0'!$D:$D,T_IS!D82,'3.0'!$H:$H),0)</f>
        <v>0</v>
      </c>
      <c r="P82" s="7">
        <f>-ROUND(SUMIF('4.0'!$D:$D,T_IS!D82,'4.0'!$N:$N),0)</f>
        <v>0</v>
      </c>
      <c r="Q82" s="7">
        <f>-ROUND(SUMIF('5.0'!$D:$D,T_IS!D82,'5.0'!$N:$N),0)</f>
        <v>0</v>
      </c>
      <c r="R82" s="7">
        <f>ROUND(SUMIF('6.0'!$D:$D,T_IS!D82,'6.0'!$N:$N),0)</f>
        <v>0</v>
      </c>
      <c r="S82" s="7">
        <f>-ROUND(SUMIF('7.0'!$D:$D,T_IS!D82,'7.0'!$I:$I),0)</f>
        <v>0</v>
      </c>
      <c r="T82" s="7">
        <f>-ROUND(SUMIF('8.0'!$D:$D,T_IS!F82,'8.0'!$H:$H),0)</f>
        <v>0</v>
      </c>
      <c r="U82" s="347">
        <f t="shared" si="18"/>
        <v>0</v>
      </c>
      <c r="W82" s="39">
        <f t="shared" si="19"/>
        <v>-9390546</v>
      </c>
      <c r="Y82" s="7"/>
      <c r="Z82" s="39">
        <v>292593</v>
      </c>
      <c r="AA82" s="7">
        <f t="shared" si="14"/>
        <v>-9683139</v>
      </c>
      <c r="AB82" s="7"/>
      <c r="AC82" s="7">
        <v>-9683139</v>
      </c>
      <c r="AD82" s="7">
        <v>0</v>
      </c>
      <c r="AE82" s="7">
        <v>0</v>
      </c>
      <c r="AF82" s="7">
        <v>0</v>
      </c>
      <c r="AG82" s="7">
        <v>-9683139</v>
      </c>
    </row>
    <row r="83" spans="1:33" ht="18" customHeight="1">
      <c r="A83" s="7"/>
      <c r="D83" s="14" t="s">
        <v>327</v>
      </c>
      <c r="E83" s="6" t="s">
        <v>314</v>
      </c>
      <c r="F83" s="40">
        <v>403</v>
      </c>
      <c r="G83" s="6" t="s">
        <v>328</v>
      </c>
      <c r="H83" s="5">
        <v>58368622</v>
      </c>
      <c r="I83" s="7">
        <v>0</v>
      </c>
      <c r="J83" s="7">
        <v>0</v>
      </c>
      <c r="K83" s="15">
        <f t="shared" si="17"/>
        <v>58368622</v>
      </c>
      <c r="M83" s="345">
        <f>-ROUND(SUMIF('1.0'!$D:$D,T_IS!D83,'1.0'!$N:$N),0)</f>
        <v>0</v>
      </c>
      <c r="N83" s="7">
        <f>-ROUND(SUMIF('2.0'!$D:$D,T_IS!D83,'2.0'!$N:$N),0)</f>
        <v>0</v>
      </c>
      <c r="O83" s="7">
        <f>-ROUND(SUMIF('3.0'!$D:$D,T_IS!D83,'3.0'!$H:$H),0)</f>
        <v>0</v>
      </c>
      <c r="P83" s="7">
        <f>-ROUND(SUMIF('4.0'!$D:$D,T_IS!D83,'4.0'!$N:$N),0)</f>
        <v>0</v>
      </c>
      <c r="Q83" s="7">
        <f>-ROUND(SUMIF('5.0'!$D:$D,T_IS!D83,'5.0'!$N:$N),0)</f>
        <v>0</v>
      </c>
      <c r="R83" s="7">
        <f>ROUND(SUMIF('6.0'!$D:$D,T_IS!D83,'6.0'!$N:$N),0)</f>
        <v>0</v>
      </c>
      <c r="S83" s="7">
        <f>-ROUND(SUMIF('7.0'!$D:$D,T_IS!D83,'7.0'!$I:$I),0)</f>
        <v>0</v>
      </c>
      <c r="T83" s="7">
        <f>-ROUND(SUMIF('8.0'!$D:$D,T_IS!F83,'8.0'!$H:$H),0)</f>
        <v>0</v>
      </c>
      <c r="U83" s="347">
        <f t="shared" si="18"/>
        <v>0</v>
      </c>
      <c r="W83" s="39">
        <f t="shared" si="19"/>
        <v>58368622</v>
      </c>
      <c r="Y83" s="7"/>
      <c r="Z83" s="39">
        <v>58368622</v>
      </c>
      <c r="AA83" s="7">
        <f t="shared" si="14"/>
        <v>0</v>
      </c>
      <c r="AB83" s="7"/>
      <c r="AC83" s="7">
        <v>0</v>
      </c>
      <c r="AD83" s="7">
        <v>0</v>
      </c>
      <c r="AE83" s="7">
        <v>0</v>
      </c>
      <c r="AF83" s="7">
        <v>0</v>
      </c>
      <c r="AG83" s="7">
        <v>0</v>
      </c>
    </row>
    <row r="84" spans="1:33" ht="18" customHeight="1">
      <c r="A84" s="7"/>
      <c r="D84" s="14" t="s">
        <v>329</v>
      </c>
      <c r="E84" s="6" t="s">
        <v>314</v>
      </c>
      <c r="F84" s="40">
        <v>404</v>
      </c>
      <c r="G84" s="6" t="s">
        <v>330</v>
      </c>
      <c r="H84" s="5">
        <v>0</v>
      </c>
      <c r="I84" s="7">
        <v>0</v>
      </c>
      <c r="J84" s="7">
        <v>0</v>
      </c>
      <c r="K84" s="15">
        <f t="shared" si="17"/>
        <v>0</v>
      </c>
      <c r="M84" s="345">
        <f>-ROUND(SUMIF('1.0'!$D:$D,T_IS!D84,'1.0'!$N:$N),0)</f>
        <v>0</v>
      </c>
      <c r="N84" s="7">
        <f>-ROUND(SUMIF('2.0'!$D:$D,T_IS!D84,'2.0'!$N:$N),0)</f>
        <v>0</v>
      </c>
      <c r="O84" s="7">
        <f>-ROUND(SUMIF('3.0'!$D:$D,T_IS!D84,'3.0'!$H:$H),0)</f>
        <v>0</v>
      </c>
      <c r="P84" s="7">
        <f>-ROUND(SUMIF('4.0'!$D:$D,T_IS!D84,'4.0'!$N:$N),0)</f>
        <v>0</v>
      </c>
      <c r="Q84" s="7">
        <f>-ROUND(SUMIF('5.0'!$D:$D,T_IS!D84,'5.0'!$N:$N),0)</f>
        <v>0</v>
      </c>
      <c r="R84" s="7">
        <f>ROUND(SUMIF('6.0'!$D:$D,T_IS!D84,'6.0'!$N:$N),0)</f>
        <v>0</v>
      </c>
      <c r="S84" s="7">
        <f>-ROUND(SUMIF('7.0'!$D:$D,T_IS!D84,'7.0'!$I:$I),0)</f>
        <v>0</v>
      </c>
      <c r="T84" s="7">
        <f>-ROUND(SUMIF('8.0'!$D:$D,T_IS!F84,'8.0'!$H:$H),0)</f>
        <v>0</v>
      </c>
      <c r="U84" s="347">
        <f t="shared" si="18"/>
        <v>0</v>
      </c>
      <c r="W84" s="39">
        <f t="shared" si="19"/>
        <v>0</v>
      </c>
      <c r="Y84" s="7"/>
      <c r="Z84" s="39">
        <v>0</v>
      </c>
      <c r="AA84" s="7">
        <f t="shared" si="14"/>
        <v>0</v>
      </c>
      <c r="AB84" s="7"/>
      <c r="AC84" s="7">
        <v>0</v>
      </c>
      <c r="AD84" s="7">
        <v>0</v>
      </c>
      <c r="AE84" s="7">
        <v>0</v>
      </c>
      <c r="AF84" s="7">
        <v>0</v>
      </c>
      <c r="AG84" s="7">
        <v>0</v>
      </c>
    </row>
    <row r="85" spans="1:33" ht="18" customHeight="1">
      <c r="A85" s="7"/>
      <c r="D85" s="14" t="s">
        <v>331</v>
      </c>
      <c r="E85" s="6" t="s">
        <v>314</v>
      </c>
      <c r="F85" s="40">
        <v>405</v>
      </c>
      <c r="G85" s="6" t="s">
        <v>332</v>
      </c>
      <c r="H85" s="5">
        <v>0</v>
      </c>
      <c r="I85" s="7">
        <v>0</v>
      </c>
      <c r="J85" s="7">
        <v>0</v>
      </c>
      <c r="K85" s="15">
        <f t="shared" si="17"/>
        <v>0</v>
      </c>
      <c r="M85" s="345">
        <f>-ROUND(SUMIF('1.0'!$D:$D,T_IS!D85,'1.0'!$N:$N),0)</f>
        <v>0</v>
      </c>
      <c r="N85" s="7">
        <f>-ROUND(SUMIF('2.0'!$D:$D,T_IS!D85,'2.0'!$N:$N),0)</f>
        <v>0</v>
      </c>
      <c r="O85" s="7">
        <f>-ROUND(SUMIF('3.0'!$D:$D,T_IS!D85,'3.0'!$H:$H),0)</f>
        <v>0</v>
      </c>
      <c r="P85" s="7">
        <f>-ROUND(SUMIF('4.0'!$D:$D,T_IS!D85,'4.0'!$N:$N),0)</f>
        <v>0</v>
      </c>
      <c r="Q85" s="7">
        <f>-ROUND(SUMIF('5.0'!$D:$D,T_IS!D85,'5.0'!$N:$N),0)</f>
        <v>0</v>
      </c>
      <c r="R85" s="7">
        <f>ROUND(SUMIF('6.0'!$D:$D,T_IS!D85,'6.0'!$N:$N),0)</f>
        <v>0</v>
      </c>
      <c r="S85" s="7">
        <f>-ROUND(SUMIF('7.0'!$D:$D,T_IS!D85,'7.0'!$I:$I),0)</f>
        <v>0</v>
      </c>
      <c r="T85" s="7">
        <f>-ROUND(SUMIF('8.0'!$D:$D,T_IS!F85,'8.0'!$H:$H),0)</f>
        <v>0</v>
      </c>
      <c r="U85" s="347">
        <f t="shared" si="18"/>
        <v>0</v>
      </c>
      <c r="W85" s="39">
        <f t="shared" si="19"/>
        <v>0</v>
      </c>
      <c r="Y85" s="7"/>
      <c r="Z85" s="39">
        <v>0</v>
      </c>
      <c r="AA85" s="7">
        <f t="shared" si="14"/>
        <v>0</v>
      </c>
      <c r="AB85" s="7"/>
      <c r="AC85" s="7">
        <v>0</v>
      </c>
      <c r="AD85" s="7">
        <v>0</v>
      </c>
      <c r="AE85" s="7">
        <v>0</v>
      </c>
      <c r="AF85" s="7">
        <v>0</v>
      </c>
      <c r="AG85" s="7">
        <v>0</v>
      </c>
    </row>
    <row r="86" spans="1:33" ht="18" customHeight="1">
      <c r="A86" s="7"/>
      <c r="D86" s="13"/>
      <c r="E86" s="34"/>
      <c r="F86" s="291"/>
      <c r="G86" s="34" t="s">
        <v>333</v>
      </c>
      <c r="H86" s="484">
        <f>SUM(H87:H97)</f>
        <v>3749080960</v>
      </c>
      <c r="I86" s="417">
        <f>SUM(I87:I97)</f>
        <v>104732826</v>
      </c>
      <c r="J86" s="417">
        <f>SUM(J87:J97)</f>
        <v>55089474</v>
      </c>
      <c r="K86" s="645">
        <f>SUM(K87:K97)</f>
        <v>3908903260</v>
      </c>
      <c r="M86" s="659">
        <f t="shared" ref="M86:U86" si="20">SUM(M87:M97)</f>
        <v>0</v>
      </c>
      <c r="N86" s="417">
        <f t="shared" si="20"/>
        <v>0</v>
      </c>
      <c r="O86" s="417">
        <f t="shared" si="20"/>
        <v>-8564195</v>
      </c>
      <c r="P86" s="417">
        <f t="shared" si="20"/>
        <v>0</v>
      </c>
      <c r="Q86" s="417">
        <f t="shared" si="20"/>
        <v>0</v>
      </c>
      <c r="R86" s="417">
        <f t="shared" si="20"/>
        <v>0</v>
      </c>
      <c r="S86" s="417">
        <f t="shared" si="20"/>
        <v>0</v>
      </c>
      <c r="T86" s="417">
        <f t="shared" si="20"/>
        <v>0</v>
      </c>
      <c r="U86" s="660">
        <f t="shared" si="20"/>
        <v>-8564195</v>
      </c>
      <c r="W86" s="36">
        <f>SUM(W87:W97)</f>
        <v>3900339065</v>
      </c>
      <c r="Y86" s="7">
        <f>W76-W86</f>
        <v>-2863952166</v>
      </c>
      <c r="Z86" s="36">
        <v>3874517223</v>
      </c>
      <c r="AA86" s="7">
        <f t="shared" si="14"/>
        <v>25821842</v>
      </c>
      <c r="AB86" s="7"/>
      <c r="AC86" s="7">
        <v>8327203</v>
      </c>
      <c r="AD86" s="7">
        <v>0</v>
      </c>
      <c r="AE86" s="7">
        <v>17494639</v>
      </c>
      <c r="AF86" s="7">
        <v>0</v>
      </c>
      <c r="AG86" s="7">
        <v>25821842</v>
      </c>
    </row>
    <row r="87" spans="1:33" ht="18" customHeight="1">
      <c r="A87" s="7"/>
      <c r="D87" s="14" t="s">
        <v>334</v>
      </c>
      <c r="E87" s="6" t="s">
        <v>333</v>
      </c>
      <c r="F87" s="40">
        <v>501</v>
      </c>
      <c r="G87" s="6" t="s">
        <v>335</v>
      </c>
      <c r="H87" s="5">
        <v>0</v>
      </c>
      <c r="I87" s="7">
        <v>0</v>
      </c>
      <c r="J87" s="7">
        <v>0</v>
      </c>
      <c r="K87" s="15">
        <f t="shared" ref="K87:K97" si="21">SUM(H87:J87)</f>
        <v>0</v>
      </c>
      <c r="M87" s="345">
        <f>ROUND(SUMIF('1.0'!$D:$D,T_IS!D87,'1.0'!$N:$N),0)</f>
        <v>0</v>
      </c>
      <c r="N87" s="7">
        <f>ROUND(SUMIF('2.0'!$D:$D,T_IS!D87,'2.0'!$N:$N),0)</f>
        <v>0</v>
      </c>
      <c r="O87" s="7">
        <f>ROUND(SUMIF('3.0'!$D:$D,T_IS!D87,'3.0'!$H:$H),0)</f>
        <v>0</v>
      </c>
      <c r="P87" s="7">
        <f>ROUND(SUMIF('4.0'!$D:$D,T_IS!D87,'4.0'!$N:$N),0)</f>
        <v>0</v>
      </c>
      <c r="Q87" s="7">
        <f>ROUND(SUMIF('5.0'!$D:$D,T_IS!D87,'5.0'!$N:$N),0)</f>
        <v>0</v>
      </c>
      <c r="R87" s="7">
        <f>ROUND(SUMIF('6.0'!$D:$D,T_IS!D87,'6.0'!$N:$N),0)</f>
        <v>0</v>
      </c>
      <c r="S87" s="7">
        <f>ROUND(SUMIF('7.0'!$D:$D,T_IS!D87,'7.0'!$I:$I),0)</f>
        <v>0</v>
      </c>
      <c r="T87" s="7">
        <f>ROUND(SUMIF('8.0'!$D:$D,T_IS!F87,'8.0'!$H:$H),0)</f>
        <v>0</v>
      </c>
      <c r="U87" s="347">
        <f t="shared" ref="U87:U97" si="22">SUM(M87:T87)</f>
        <v>0</v>
      </c>
      <c r="W87" s="39">
        <f t="shared" ref="W87:W97" si="23">U87+K87</f>
        <v>0</v>
      </c>
      <c r="Y87" s="7">
        <v>3549013588</v>
      </c>
      <c r="Z87" s="39">
        <v>0</v>
      </c>
      <c r="AA87" s="7">
        <f t="shared" si="14"/>
        <v>0</v>
      </c>
      <c r="AB87" s="7"/>
      <c r="AC87" s="7">
        <v>0</v>
      </c>
      <c r="AD87" s="7">
        <v>0</v>
      </c>
      <c r="AE87" s="7">
        <v>0</v>
      </c>
      <c r="AF87" s="7">
        <v>0</v>
      </c>
      <c r="AG87" s="7">
        <v>0</v>
      </c>
    </row>
    <row r="88" spans="1:33" ht="18" customHeight="1">
      <c r="A88" s="7"/>
      <c r="D88" s="14" t="s">
        <v>336</v>
      </c>
      <c r="E88" s="6" t="s">
        <v>333</v>
      </c>
      <c r="F88" s="40">
        <v>501</v>
      </c>
      <c r="G88" s="6" t="s">
        <v>337</v>
      </c>
      <c r="H88" s="5">
        <v>0</v>
      </c>
      <c r="I88" s="7">
        <v>0</v>
      </c>
      <c r="J88" s="7">
        <v>9497071</v>
      </c>
      <c r="K88" s="15">
        <f t="shared" si="21"/>
        <v>9497071</v>
      </c>
      <c r="M88" s="345">
        <f>ROUND(SUMIF('1.0'!$D:$D,T_IS!D88,'1.0'!$N:$N),0)</f>
        <v>0</v>
      </c>
      <c r="N88" s="7">
        <f>ROUND(SUMIF('2.0'!$D:$D,T_IS!D88,'2.0'!$N:$N),0)</f>
        <v>0</v>
      </c>
      <c r="O88" s="7">
        <f>ROUND(SUMIF('3.0'!$D:$D,T_IS!D88,'3.0'!$H:$H),0)</f>
        <v>-9497071</v>
      </c>
      <c r="P88" s="7">
        <f>ROUND(SUMIF('4.0'!$D:$D,T_IS!D88,'4.0'!$N:$N),0)</f>
        <v>0</v>
      </c>
      <c r="Q88" s="7">
        <f>ROUND(SUMIF('5.0'!$D:$D,T_IS!D88,'5.0'!$N:$N),0)</f>
        <v>0</v>
      </c>
      <c r="R88" s="7">
        <f>ROUND(SUMIF('6.0'!$D:$D,T_IS!D88,'6.0'!$N:$N),0)</f>
        <v>0</v>
      </c>
      <c r="S88" s="7">
        <f>ROUND(SUMIF('7.0'!$D:$D,T_IS!D88,'7.0'!$I:$I),0)</f>
        <v>0</v>
      </c>
      <c r="T88" s="7">
        <f>ROUND(SUMIF('8.0'!$D:$D,T_IS!F88,'8.0'!$H:$H),0)</f>
        <v>0</v>
      </c>
      <c r="U88" s="347">
        <f t="shared" si="22"/>
        <v>-9497071</v>
      </c>
      <c r="W88" s="39">
        <f t="shared" si="23"/>
        <v>0</v>
      </c>
      <c r="Y88" s="7">
        <f>Y87+Y86</f>
        <v>685061422</v>
      </c>
      <c r="Z88" s="39">
        <v>932876</v>
      </c>
      <c r="AA88" s="7">
        <f t="shared" si="14"/>
        <v>-932876</v>
      </c>
      <c r="AB88" s="7"/>
      <c r="AC88" s="7">
        <v>0</v>
      </c>
      <c r="AD88" s="7">
        <v>0</v>
      </c>
      <c r="AE88" s="7">
        <v>0</v>
      </c>
      <c r="AF88" s="7">
        <v>-932876</v>
      </c>
      <c r="AG88" s="7">
        <v>-932876</v>
      </c>
    </row>
    <row r="89" spans="1:33" ht="18" customHeight="1">
      <c r="A89" s="7"/>
      <c r="D89" s="14" t="s">
        <v>338</v>
      </c>
      <c r="E89" s="6" t="s">
        <v>333</v>
      </c>
      <c r="F89" s="40">
        <v>505</v>
      </c>
      <c r="G89" s="6" t="s">
        <v>339</v>
      </c>
      <c r="H89" s="5">
        <v>124898415</v>
      </c>
      <c r="I89" s="7">
        <v>2096033</v>
      </c>
      <c r="J89" s="7">
        <v>45081209</v>
      </c>
      <c r="K89" s="15">
        <f t="shared" si="21"/>
        <v>172075657</v>
      </c>
      <c r="M89" s="345">
        <f>ROUND(SUMIF('1.0'!$D:$D,T_IS!D89,'1.0'!$N:$N),0)</f>
        <v>0</v>
      </c>
      <c r="N89" s="7">
        <f>ROUND(SUMIF('2.0'!$D:$D,T_IS!D89,'2.0'!$N:$N),0)</f>
        <v>0</v>
      </c>
      <c r="O89" s="7">
        <f>ROUND(SUMIF('3.0'!$D:$D,T_IS!D89,'3.0'!$H:$H),0)</f>
        <v>0</v>
      </c>
      <c r="P89" s="7">
        <f>ROUND(SUMIF('4.0'!$D:$D,T_IS!D89,'4.0'!$N:$N),0)</f>
        <v>0</v>
      </c>
      <c r="Q89" s="7">
        <f>ROUND(SUMIF('5.0'!$D:$D,T_IS!D89,'5.0'!$N:$N),0)</f>
        <v>0</v>
      </c>
      <c r="R89" s="7">
        <f>ROUND(SUMIF('6.0'!$D:$D,T_IS!D89,'6.0'!$N:$N),0)</f>
        <v>0</v>
      </c>
      <c r="S89" s="7">
        <f>ROUND(SUMIF('7.0'!$D:$D,T_IS!D89,'7.0'!$I:$I),0)</f>
        <v>0</v>
      </c>
      <c r="T89" s="7">
        <f>ROUND(SUMIF('8.0'!$D:$D,T_IS!F89,'8.0'!$H:$H),0)</f>
        <v>0</v>
      </c>
      <c r="U89" s="347">
        <f t="shared" si="22"/>
        <v>0</v>
      </c>
      <c r="W89" s="39">
        <f t="shared" si="23"/>
        <v>172075657</v>
      </c>
      <c r="Y89" s="7"/>
      <c r="Z89" s="39">
        <v>154581018</v>
      </c>
      <c r="AA89" s="7">
        <f t="shared" si="14"/>
        <v>17494639</v>
      </c>
      <c r="AB89" s="7"/>
      <c r="AC89" s="7">
        <v>0</v>
      </c>
      <c r="AD89" s="7">
        <v>0</v>
      </c>
      <c r="AE89" s="7">
        <v>17494639</v>
      </c>
      <c r="AF89" s="7">
        <v>0</v>
      </c>
      <c r="AG89" s="7">
        <v>17494639</v>
      </c>
    </row>
    <row r="90" spans="1:33" ht="18" customHeight="1">
      <c r="A90" s="7"/>
      <c r="D90" s="43" t="s">
        <v>1600</v>
      </c>
      <c r="E90" s="6" t="s">
        <v>333</v>
      </c>
      <c r="F90" s="40">
        <v>501</v>
      </c>
      <c r="G90" s="6" t="s">
        <v>387</v>
      </c>
      <c r="H90" s="5">
        <v>0</v>
      </c>
      <c r="I90" s="7">
        <v>0</v>
      </c>
      <c r="J90" s="7">
        <v>0</v>
      </c>
      <c r="K90" s="15">
        <f t="shared" si="21"/>
        <v>0</v>
      </c>
      <c r="M90" s="345">
        <f>ROUND(SUMIF('1.0'!$D:$D,T_IS!D90,'1.0'!$N:$N),0)</f>
        <v>0</v>
      </c>
      <c r="N90" s="7">
        <f>ROUND(SUMIF('2.0'!$D:$D,T_IS!D90,'2.0'!$N:$N),0)</f>
        <v>0</v>
      </c>
      <c r="O90" s="7">
        <f>ROUND(SUMIF('3.0'!$D:$D,T_IS!D90,'3.0'!$H:$H),0)</f>
        <v>0</v>
      </c>
      <c r="P90" s="7">
        <f>ROUND(SUMIF('4.0'!$D:$D,T_IS!D90,'4.0'!$N:$N),0)</f>
        <v>0</v>
      </c>
      <c r="Q90" s="7">
        <f>ROUND(SUMIF('5.0'!$D:$D,T_IS!D90,'5.0'!$N:$N),0)</f>
        <v>0</v>
      </c>
      <c r="R90" s="7">
        <f>ROUND(SUMIF('6.0'!$D:$D,T_IS!D90,'6.0'!$N:$N),0)</f>
        <v>0</v>
      </c>
      <c r="S90" s="7">
        <f>ROUND(SUMIF('7.0'!$D:$D,T_IS!D90,'7.0'!$I:$I),0)</f>
        <v>0</v>
      </c>
      <c r="T90" s="7">
        <f>ROUND(SUMIF('8.0'!$D:$D,T_IS!F90,'8.0'!$H:$H),0)</f>
        <v>0</v>
      </c>
      <c r="U90" s="347">
        <f t="shared" si="22"/>
        <v>0</v>
      </c>
      <c r="W90" s="39">
        <f t="shared" si="23"/>
        <v>0</v>
      </c>
      <c r="Y90" s="7"/>
      <c r="Z90" s="39">
        <v>0</v>
      </c>
      <c r="AA90" s="7">
        <f t="shared" si="14"/>
        <v>0</v>
      </c>
      <c r="AB90" s="7"/>
      <c r="AC90" s="7">
        <v>0</v>
      </c>
      <c r="AD90" s="7">
        <v>0</v>
      </c>
      <c r="AE90" s="7">
        <v>0</v>
      </c>
      <c r="AF90" s="7">
        <v>0</v>
      </c>
      <c r="AG90" s="7">
        <v>0</v>
      </c>
    </row>
    <row r="91" spans="1:33" ht="18" customHeight="1">
      <c r="A91" s="7"/>
      <c r="D91" s="14" t="s">
        <v>340</v>
      </c>
      <c r="E91" s="6" t="s">
        <v>333</v>
      </c>
      <c r="F91" s="40">
        <v>502</v>
      </c>
      <c r="G91" s="6" t="s">
        <v>341</v>
      </c>
      <c r="H91" s="5">
        <v>345872517</v>
      </c>
      <c r="I91" s="7">
        <v>102636793</v>
      </c>
      <c r="J91" s="7">
        <v>511194</v>
      </c>
      <c r="K91" s="15">
        <f t="shared" si="21"/>
        <v>449020504</v>
      </c>
      <c r="M91" s="345">
        <f>ROUND(SUMIF('1.0'!$D:$D,T_IS!D91,'1.0'!$N:$N),0)</f>
        <v>0</v>
      </c>
      <c r="N91" s="7">
        <f>ROUND(SUMIF('2.0'!$D:$D,T_IS!D91,'2.0'!$N:$N),0)</f>
        <v>0</v>
      </c>
      <c r="O91" s="7">
        <f>ROUND(SUMIF('3.0'!$D:$D,T_IS!D91,'3.0'!$H:$H),0)</f>
        <v>0</v>
      </c>
      <c r="P91" s="7">
        <f>ROUND(SUMIF('4.0'!$D:$D,T_IS!D91,'4.0'!$N:$N),0)</f>
        <v>0</v>
      </c>
      <c r="Q91" s="7">
        <f>ROUND(SUMIF('5.0'!$D:$D,T_IS!D91,'5.0'!$N:$N),0)</f>
        <v>0</v>
      </c>
      <c r="R91" s="7">
        <f>ROUND(SUMIF('6.0'!$D:$D,T_IS!D91,'6.0'!$N:$N),0)</f>
        <v>0</v>
      </c>
      <c r="S91" s="7">
        <f>ROUND(SUMIF('7.0'!$D:$D,T_IS!D91,'7.0'!$I:$I),0)</f>
        <v>0</v>
      </c>
      <c r="T91" s="7">
        <f>ROUND(SUMIF('8.0'!$D:$D,T_IS!F91,'8.0'!$H:$H),0)</f>
        <v>0</v>
      </c>
      <c r="U91" s="347">
        <f t="shared" si="22"/>
        <v>0</v>
      </c>
      <c r="W91" s="39">
        <f t="shared" si="23"/>
        <v>449020504</v>
      </c>
      <c r="Y91" s="7"/>
      <c r="Z91" s="39">
        <v>442996286</v>
      </c>
      <c r="AA91" s="7">
        <f t="shared" si="14"/>
        <v>6024218</v>
      </c>
      <c r="AB91" s="7"/>
      <c r="AC91" s="7">
        <v>6024218</v>
      </c>
      <c r="AD91" s="7">
        <v>0</v>
      </c>
      <c r="AE91" s="7">
        <v>0</v>
      </c>
      <c r="AF91" s="7">
        <v>0</v>
      </c>
      <c r="AG91" s="7">
        <v>6024218</v>
      </c>
    </row>
    <row r="92" spans="1:33" ht="18" customHeight="1">
      <c r="A92" s="7"/>
      <c r="D92" s="14" t="s">
        <v>342</v>
      </c>
      <c r="E92" s="6" t="s">
        <v>333</v>
      </c>
      <c r="F92" s="40">
        <v>502</v>
      </c>
      <c r="G92" s="6" t="s">
        <v>343</v>
      </c>
      <c r="H92" s="5">
        <v>111326161</v>
      </c>
      <c r="I92" s="7">
        <v>0</v>
      </c>
      <c r="J92" s="7">
        <v>0</v>
      </c>
      <c r="K92" s="15">
        <f t="shared" si="21"/>
        <v>111326161</v>
      </c>
      <c r="M92" s="345">
        <f>ROUND(SUMIF('1.0'!$D:$D,T_IS!D92,'1.0'!$N:$N),0)</f>
        <v>0</v>
      </c>
      <c r="N92" s="7">
        <f>ROUND(SUMIF('2.0'!$D:$D,T_IS!D92,'2.0'!$N:$N),0)</f>
        <v>0</v>
      </c>
      <c r="O92" s="7">
        <f>ROUND(SUMIF('3.0'!$D:$D,T_IS!D92,'3.0'!$H:$H),0)</f>
        <v>932876</v>
      </c>
      <c r="P92" s="7">
        <f>ROUND(SUMIF('4.0'!$D:$D,T_IS!D92,'4.0'!$N:$N),0)</f>
        <v>0</v>
      </c>
      <c r="Q92" s="7">
        <f>ROUND(SUMIF('5.0'!$D:$D,T_IS!D92,'5.0'!$N:$N),0)</f>
        <v>0</v>
      </c>
      <c r="R92" s="7">
        <f>ROUND(SUMIF('6.0'!$D:$D,T_IS!D92,'6.0'!$N:$N),0)</f>
        <v>0</v>
      </c>
      <c r="S92" s="7">
        <f>ROUND(SUMIF('7.0'!$D:$D,T_IS!D92,'7.0'!$I:$I),0)</f>
        <v>0</v>
      </c>
      <c r="T92" s="7">
        <f>ROUND(SUMIF('8.0'!$D:$D,T_IS!F92,'8.0'!$H:$H),0)</f>
        <v>0</v>
      </c>
      <c r="U92" s="347">
        <f t="shared" si="22"/>
        <v>932876</v>
      </c>
      <c r="W92" s="39">
        <f t="shared" si="23"/>
        <v>112259037</v>
      </c>
      <c r="Y92" s="7"/>
      <c r="Z92" s="39">
        <v>111326161</v>
      </c>
      <c r="AA92" s="7">
        <f t="shared" si="14"/>
        <v>932876</v>
      </c>
      <c r="AB92" s="7"/>
      <c r="AC92" s="7">
        <v>0</v>
      </c>
      <c r="AD92" s="7">
        <v>0</v>
      </c>
      <c r="AE92" s="7">
        <v>0</v>
      </c>
      <c r="AF92" s="7">
        <v>932876</v>
      </c>
      <c r="AG92" s="7">
        <v>932876</v>
      </c>
    </row>
    <row r="93" spans="1:33" ht="18" customHeight="1">
      <c r="A93" s="7"/>
      <c r="D93" s="14" t="s">
        <v>344</v>
      </c>
      <c r="E93" s="6" t="s">
        <v>333</v>
      </c>
      <c r="F93" s="40">
        <v>502</v>
      </c>
      <c r="G93" s="6" t="s">
        <v>345</v>
      </c>
      <c r="H93" s="5">
        <v>0</v>
      </c>
      <c r="I93" s="7">
        <v>0</v>
      </c>
      <c r="J93" s="7">
        <v>0</v>
      </c>
      <c r="K93" s="15">
        <f t="shared" si="21"/>
        <v>0</v>
      </c>
      <c r="M93" s="345">
        <f>ROUND(SUMIF('1.0'!$D:$D,T_IS!D93,'1.0'!$N:$N),0)</f>
        <v>0</v>
      </c>
      <c r="N93" s="7">
        <f>ROUND(SUMIF('2.0'!$D:$D,T_IS!D93,'2.0'!$N:$N),0)</f>
        <v>0</v>
      </c>
      <c r="O93" s="7">
        <f>ROUND(SUMIF('3.0'!$D:$D,T_IS!D93,'3.0'!$H:$H),0)</f>
        <v>0</v>
      </c>
      <c r="P93" s="7">
        <f>ROUND(SUMIF('4.0'!$D:$D,T_IS!D93,'4.0'!$N:$N),0)</f>
        <v>0</v>
      </c>
      <c r="Q93" s="7">
        <f>ROUND(SUMIF('5.0'!$D:$D,T_IS!D93,'5.0'!$N:$N),0)</f>
        <v>0</v>
      </c>
      <c r="R93" s="7">
        <f>ROUND(SUMIF('6.0'!$D:$D,T_IS!D93,'6.0'!$N:$N),0)</f>
        <v>0</v>
      </c>
      <c r="S93" s="7">
        <f>ROUND(SUMIF('7.0'!$D:$D,T_IS!D93,'7.0'!$I:$I),0)</f>
        <v>0</v>
      </c>
      <c r="T93" s="7">
        <f>ROUND(SUMIF('8.0'!$D:$D,T_IS!F93,'8.0'!$H:$H),0)</f>
        <v>0</v>
      </c>
      <c r="U93" s="347">
        <f t="shared" si="22"/>
        <v>0</v>
      </c>
      <c r="W93" s="39">
        <f t="shared" si="23"/>
        <v>0</v>
      </c>
      <c r="Y93" s="7"/>
      <c r="Z93" s="39">
        <v>0</v>
      </c>
      <c r="AA93" s="7">
        <f t="shared" si="14"/>
        <v>0</v>
      </c>
      <c r="AB93" s="7"/>
      <c r="AC93" s="7">
        <v>0</v>
      </c>
      <c r="AD93" s="7">
        <v>0</v>
      </c>
      <c r="AE93" s="7">
        <v>0</v>
      </c>
      <c r="AF93" s="7">
        <v>0</v>
      </c>
      <c r="AG93" s="7">
        <v>0</v>
      </c>
    </row>
    <row r="94" spans="1:33" ht="18" customHeight="1">
      <c r="A94" s="7"/>
      <c r="D94" s="14" t="s">
        <v>346</v>
      </c>
      <c r="E94" s="6" t="s">
        <v>333</v>
      </c>
      <c r="F94" s="40">
        <v>503</v>
      </c>
      <c r="G94" s="6" t="s">
        <v>347</v>
      </c>
      <c r="H94" s="5">
        <v>2168042128</v>
      </c>
      <c r="I94" s="7">
        <v>0</v>
      </c>
      <c r="J94" s="7">
        <v>0</v>
      </c>
      <c r="K94" s="15">
        <f t="shared" si="21"/>
        <v>2168042128</v>
      </c>
      <c r="M94" s="345">
        <f>ROUND(SUMIF('1.0'!$D:$D,T_IS!D94,'1.0'!$N:$N),0)</f>
        <v>0</v>
      </c>
      <c r="N94" s="7">
        <f>ROUND(SUMIF('2.0'!$D:$D,T_IS!D94,'2.0'!$N:$N),0)</f>
        <v>0</v>
      </c>
      <c r="O94" s="7">
        <f>ROUND(SUMIF('3.0'!$D:$D,T_IS!D94,'3.0'!$H:$H),0)</f>
        <v>0</v>
      </c>
      <c r="P94" s="7">
        <f>ROUND(SUMIF('4.0'!$D:$D,T_IS!D94,'4.0'!$N:$N),0)</f>
        <v>0</v>
      </c>
      <c r="Q94" s="7">
        <f>ROUND(SUMIF('5.0'!$D:$D,T_IS!D94,'5.0'!$N:$N),0)</f>
        <v>0</v>
      </c>
      <c r="R94" s="7">
        <f>ROUND(SUMIF('6.0'!$D:$D,T_IS!D94,'6.0'!$N:$N),0)</f>
        <v>0</v>
      </c>
      <c r="S94" s="7">
        <f>ROUND(SUMIF('7.0'!$D:$D,T_IS!D94,'7.0'!$I:$I),0)</f>
        <v>0</v>
      </c>
      <c r="T94" s="7">
        <f>ROUND(SUMIF('8.0'!$D:$D,T_IS!F94,'8.0'!$H:$H),0)</f>
        <v>0</v>
      </c>
      <c r="U94" s="347">
        <f t="shared" si="22"/>
        <v>0</v>
      </c>
      <c r="W94" s="39">
        <f t="shared" si="23"/>
        <v>2168042128</v>
      </c>
      <c r="Y94" s="7"/>
      <c r="Z94" s="39">
        <v>2165739143</v>
      </c>
      <c r="AA94" s="7">
        <f t="shared" si="14"/>
        <v>2302985</v>
      </c>
      <c r="AB94" s="7"/>
      <c r="AC94" s="7">
        <v>2302985</v>
      </c>
      <c r="AD94" s="7">
        <v>0</v>
      </c>
      <c r="AE94" s="7">
        <v>0</v>
      </c>
      <c r="AF94" s="7">
        <v>0</v>
      </c>
      <c r="AG94" s="7">
        <v>2302985</v>
      </c>
    </row>
    <row r="95" spans="1:33" ht="18" customHeight="1">
      <c r="A95" s="7"/>
      <c r="D95" s="14" t="s">
        <v>348</v>
      </c>
      <c r="E95" s="6" t="s">
        <v>333</v>
      </c>
      <c r="F95" s="40">
        <v>503</v>
      </c>
      <c r="G95" s="6" t="s">
        <v>349</v>
      </c>
      <c r="H95" s="5">
        <v>2582056</v>
      </c>
      <c r="I95" s="7">
        <v>0</v>
      </c>
      <c r="J95" s="7">
        <v>0</v>
      </c>
      <c r="K95" s="15">
        <f t="shared" si="21"/>
        <v>2582056</v>
      </c>
      <c r="M95" s="345">
        <f>ROUND(SUMIF('1.0'!$D:$D,T_IS!D95,'1.0'!$N:$N),0)</f>
        <v>0</v>
      </c>
      <c r="N95" s="7">
        <f>ROUND(SUMIF('2.0'!$D:$D,T_IS!D95,'2.0'!$N:$N),0)</f>
        <v>0</v>
      </c>
      <c r="O95" s="7">
        <f>ROUND(SUMIF('3.0'!$D:$D,T_IS!D95,'3.0'!$H:$H),0)</f>
        <v>0</v>
      </c>
      <c r="P95" s="7">
        <f>ROUND(SUMIF('4.0'!$D:$D,T_IS!D95,'4.0'!$N:$N),0)</f>
        <v>0</v>
      </c>
      <c r="Q95" s="7">
        <f>ROUND(SUMIF('5.0'!$D:$D,T_IS!D95,'5.0'!$N:$N),0)</f>
        <v>0</v>
      </c>
      <c r="R95" s="7">
        <f>ROUND(SUMIF('6.0'!$D:$D,T_IS!D95,'6.0'!$N:$N),0)</f>
        <v>0</v>
      </c>
      <c r="S95" s="7">
        <f>ROUND(SUMIF('7.0'!$D:$D,T_IS!D95,'7.0'!$I:$I),0)</f>
        <v>0</v>
      </c>
      <c r="T95" s="7">
        <f>ROUND(SUMIF('8.0'!$D:$D,T_IS!F95,'8.0'!$H:$H),0)</f>
        <v>0</v>
      </c>
      <c r="U95" s="347">
        <f t="shared" si="22"/>
        <v>0</v>
      </c>
      <c r="W95" s="39">
        <f t="shared" si="23"/>
        <v>2582056</v>
      </c>
      <c r="Y95" s="7"/>
      <c r="Z95" s="39">
        <v>2582056</v>
      </c>
      <c r="AA95" s="7">
        <f t="shared" si="14"/>
        <v>0</v>
      </c>
      <c r="AB95" s="7"/>
      <c r="AC95" s="7">
        <v>0</v>
      </c>
      <c r="AD95" s="7">
        <v>0</v>
      </c>
      <c r="AE95" s="7">
        <v>0</v>
      </c>
      <c r="AF95" s="7">
        <v>0</v>
      </c>
      <c r="AG95" s="7">
        <v>0</v>
      </c>
    </row>
    <row r="96" spans="1:33" ht="18" customHeight="1">
      <c r="A96" s="7"/>
      <c r="D96" s="14" t="s">
        <v>2263</v>
      </c>
      <c r="E96" s="6" t="s">
        <v>333</v>
      </c>
      <c r="F96" s="40">
        <v>504</v>
      </c>
      <c r="G96" s="6" t="s">
        <v>351</v>
      </c>
      <c r="H96" s="5">
        <v>996359683</v>
      </c>
      <c r="I96" s="7">
        <v>0</v>
      </c>
      <c r="J96" s="7">
        <v>0</v>
      </c>
      <c r="K96" s="15">
        <f t="shared" si="21"/>
        <v>996359683</v>
      </c>
      <c r="M96" s="345">
        <f>ROUND(SUMIF('1.0'!$D:$D,T_IS!D96,'1.0'!$N:$N),0)</f>
        <v>0</v>
      </c>
      <c r="N96" s="7">
        <f>ROUND(SUMIF('2.0'!$D:$D,T_IS!D96,'2.0'!$N:$N),0)</f>
        <v>0</v>
      </c>
      <c r="O96" s="7">
        <f>ROUND(SUMIF('3.0'!$D:$D,T_IS!D96,'3.0'!$H:$H),0)</f>
        <v>0</v>
      </c>
      <c r="P96" s="7">
        <f>ROUND(SUMIF('4.0'!$D:$D,T_IS!D96,'4.0'!$N:$N),0)</f>
        <v>0</v>
      </c>
      <c r="Q96" s="7">
        <f>ROUND(SUMIF('5.0'!$D:$D,T_IS!D96,'5.0'!$N:$N),0)</f>
        <v>0</v>
      </c>
      <c r="R96" s="7">
        <f>ROUND(SUMIF('6.0'!$D:$D,T_IS!D96,'6.0'!$N:$N),0)</f>
        <v>0</v>
      </c>
      <c r="S96" s="7">
        <f>ROUND(SUMIF('7.0'!$D:$D,T_IS!D96,'7.0'!$I:$I),0)</f>
        <v>0</v>
      </c>
      <c r="T96" s="7">
        <f>ROUND(SUMIF('8.0'!$D:$D,T_IS!F96,'8.0'!$H:$H),0)</f>
        <v>0</v>
      </c>
      <c r="U96" s="347">
        <f t="shared" si="22"/>
        <v>0</v>
      </c>
      <c r="W96" s="39">
        <f t="shared" si="23"/>
        <v>996359683</v>
      </c>
      <c r="Y96" s="7"/>
      <c r="Z96" s="39">
        <v>996359683</v>
      </c>
      <c r="AA96" s="7">
        <f t="shared" si="14"/>
        <v>0</v>
      </c>
      <c r="AB96" s="7"/>
      <c r="AC96" s="7">
        <v>0</v>
      </c>
      <c r="AD96" s="7">
        <v>0</v>
      </c>
      <c r="AE96" s="7">
        <v>0</v>
      </c>
      <c r="AF96" s="7">
        <v>0</v>
      </c>
      <c r="AG96" s="7">
        <v>0</v>
      </c>
    </row>
    <row r="97" spans="1:33" ht="18" customHeight="1">
      <c r="A97" s="7"/>
      <c r="D97" s="43" t="s">
        <v>352</v>
      </c>
      <c r="E97" s="6" t="s">
        <v>333</v>
      </c>
      <c r="F97" s="40" t="s">
        <v>612</v>
      </c>
      <c r="G97" s="6" t="s">
        <v>353</v>
      </c>
      <c r="H97" s="5">
        <v>0</v>
      </c>
      <c r="I97" s="7">
        <v>0</v>
      </c>
      <c r="J97" s="7">
        <v>0</v>
      </c>
      <c r="K97" s="15">
        <f t="shared" si="21"/>
        <v>0</v>
      </c>
      <c r="M97" s="345">
        <f>ROUND(SUMIF('1.0'!$D:$D,T_IS!D97,'1.0'!$N:$N),0)</f>
        <v>0</v>
      </c>
      <c r="N97" s="7">
        <f>ROUND(SUMIF('2.0'!$D:$D,T_IS!D97,'2.0'!$N:$N),0)</f>
        <v>0</v>
      </c>
      <c r="O97" s="7">
        <f>ROUND(SUMIF('3.0'!$D:$D,T_IS!D97,'3.0'!$H:$H),0)</f>
        <v>0</v>
      </c>
      <c r="P97" s="7">
        <f>ROUND(SUMIF('4.0'!$D:$D,T_IS!D97,'4.0'!$N:$N),0)</f>
        <v>0</v>
      </c>
      <c r="Q97" s="7">
        <f>ROUND(SUMIF('5.0'!$D:$D,T_IS!D97,'5.0'!$N:$N),0)</f>
        <v>0</v>
      </c>
      <c r="R97" s="7">
        <f>ROUND(SUMIF('6.0'!$D:$D,T_IS!D97,'6.0'!$N:$N),0)</f>
        <v>0</v>
      </c>
      <c r="S97" s="7">
        <f>ROUND(SUMIF('7.0'!$D:$D,T_IS!D97,'7.0'!$I:$I),0)</f>
        <v>0</v>
      </c>
      <c r="T97" s="7">
        <f>ROUND(SUMIF('8.0'!$D:$D,T_IS!F97,'8.0'!$H:$H),0)</f>
        <v>0</v>
      </c>
      <c r="U97" s="347">
        <f t="shared" si="22"/>
        <v>0</v>
      </c>
      <c r="W97" s="39">
        <f t="shared" si="23"/>
        <v>0</v>
      </c>
      <c r="Y97" s="7"/>
      <c r="Z97" s="39">
        <v>0</v>
      </c>
      <c r="AA97" s="7">
        <f t="shared" si="14"/>
        <v>0</v>
      </c>
      <c r="AB97" s="7"/>
      <c r="AC97" s="7">
        <v>0</v>
      </c>
      <c r="AD97" s="7">
        <v>0</v>
      </c>
      <c r="AE97" s="7">
        <v>0</v>
      </c>
      <c r="AF97" s="7">
        <v>0</v>
      </c>
      <c r="AG97" s="7">
        <v>0</v>
      </c>
    </row>
    <row r="98" spans="1:33" ht="18" customHeight="1">
      <c r="A98" s="7"/>
      <c r="D98" s="13"/>
      <c r="E98" s="34"/>
      <c r="F98" s="291"/>
      <c r="G98" s="34" t="s">
        <v>354</v>
      </c>
      <c r="H98" s="484">
        <f>SUM(H99:H102)</f>
        <v>92394799</v>
      </c>
      <c r="I98" s="417">
        <f>SUM(I99:I102)</f>
        <v>650575</v>
      </c>
      <c r="J98" s="417">
        <f>SUM(J99:J102)</f>
        <v>106368911</v>
      </c>
      <c r="K98" s="645">
        <f>SUM(K99:K102)</f>
        <v>199414285</v>
      </c>
      <c r="M98" s="659">
        <f t="shared" ref="M98:U98" si="24">SUM(M99:M102)</f>
        <v>0</v>
      </c>
      <c r="N98" s="417">
        <f t="shared" si="24"/>
        <v>0</v>
      </c>
      <c r="O98" s="417">
        <f t="shared" si="24"/>
        <v>0</v>
      </c>
      <c r="P98" s="417">
        <f t="shared" si="24"/>
        <v>0</v>
      </c>
      <c r="Q98" s="417">
        <f t="shared" si="24"/>
        <v>0</v>
      </c>
      <c r="R98" s="417">
        <f t="shared" si="24"/>
        <v>0</v>
      </c>
      <c r="S98" s="417">
        <f t="shared" si="24"/>
        <v>0</v>
      </c>
      <c r="T98" s="417">
        <f t="shared" si="24"/>
        <v>0</v>
      </c>
      <c r="U98" s="660">
        <f t="shared" si="24"/>
        <v>0</v>
      </c>
      <c r="W98" s="36">
        <f>SUM(W99:W102)</f>
        <v>199414285</v>
      </c>
      <c r="Y98" s="7"/>
      <c r="Z98" s="36">
        <v>120221508</v>
      </c>
      <c r="AA98" s="7">
        <f t="shared" si="14"/>
        <v>79192777</v>
      </c>
      <c r="AB98" s="7"/>
      <c r="AC98" s="7">
        <v>0</v>
      </c>
      <c r="AD98" s="7">
        <v>486288</v>
      </c>
      <c r="AE98" s="7">
        <v>78706489</v>
      </c>
      <c r="AF98" s="7">
        <v>0</v>
      </c>
      <c r="AG98" s="7">
        <v>79192777</v>
      </c>
    </row>
    <row r="99" spans="1:33" ht="18" customHeight="1">
      <c r="A99" s="7"/>
      <c r="D99" s="14" t="s">
        <v>355</v>
      </c>
      <c r="E99" s="6" t="s">
        <v>354</v>
      </c>
      <c r="F99" s="40">
        <v>602</v>
      </c>
      <c r="G99" s="6" t="s">
        <v>1965</v>
      </c>
      <c r="H99" s="5">
        <v>2240200</v>
      </c>
      <c r="I99" s="7">
        <v>0</v>
      </c>
      <c r="J99" s="7">
        <v>0</v>
      </c>
      <c r="K99" s="15">
        <f>SUM(H99:J99)</f>
        <v>2240200</v>
      </c>
      <c r="M99" s="345">
        <f>-ROUND(SUMIF('1.0'!$D:$D,T_IS!D99,'1.0'!$N:$N),0)</f>
        <v>0</v>
      </c>
      <c r="N99" s="7">
        <f>-ROUND(SUMIF('2.0'!$D:$D,T_IS!D99,'2.0'!$N:$N),0)</f>
        <v>0</v>
      </c>
      <c r="O99" s="7">
        <f>ROUND(SUMIF('3.0'!$D:$D,T_IS!D99,'3.0'!$H:$H),0)</f>
        <v>0</v>
      </c>
      <c r="P99" s="7">
        <f>-ROUND(SUMIF('4.0'!$D:$D,T_IS!D99,'4.0'!$N:$N),0)</f>
        <v>0</v>
      </c>
      <c r="Q99" s="7">
        <f>-ROUND(SUMIF('5.0'!$D:$D,T_IS!D99,'5.0'!$N:$N),0)</f>
        <v>0</v>
      </c>
      <c r="R99" s="7">
        <f>ROUND(SUMIF('6.0'!$D:$D,T_IS!D99,'6.0'!$N:$N),0)</f>
        <v>0</v>
      </c>
      <c r="S99" s="7">
        <f>-ROUND(SUMIF('7.0'!$D:$D,T_IS!D99,'7.0'!$I:$I),0)</f>
        <v>0</v>
      </c>
      <c r="T99" s="7">
        <f>-ROUND(SUMIF('8.0'!$D:$D,T_IS!F99,'8.0'!$H:$H),0)</f>
        <v>0</v>
      </c>
      <c r="U99" s="347">
        <f>SUM(M99:T99)</f>
        <v>0</v>
      </c>
      <c r="W99" s="39">
        <f>U99+K99</f>
        <v>2240200</v>
      </c>
      <c r="Y99" s="7"/>
      <c r="Z99" s="39">
        <v>2240200</v>
      </c>
      <c r="AA99" s="7">
        <f t="shared" si="14"/>
        <v>0</v>
      </c>
      <c r="AB99" s="7"/>
      <c r="AC99" s="7">
        <v>0</v>
      </c>
      <c r="AD99" s="7">
        <v>0</v>
      </c>
      <c r="AE99" s="7">
        <v>0</v>
      </c>
      <c r="AF99" s="7">
        <v>0</v>
      </c>
      <c r="AG99" s="7">
        <v>0</v>
      </c>
    </row>
    <row r="100" spans="1:33" ht="18" customHeight="1">
      <c r="A100" s="7"/>
      <c r="D100" s="14" t="s">
        <v>357</v>
      </c>
      <c r="E100" s="6" t="s">
        <v>354</v>
      </c>
      <c r="F100" s="40">
        <v>604</v>
      </c>
      <c r="G100" s="6" t="s">
        <v>1966</v>
      </c>
      <c r="H100" s="5">
        <v>0</v>
      </c>
      <c r="I100" s="7">
        <v>0</v>
      </c>
      <c r="J100" s="7">
        <v>0</v>
      </c>
      <c r="K100" s="15">
        <f>SUM(H100:J100)</f>
        <v>0</v>
      </c>
      <c r="M100" s="345">
        <f>-ROUND(SUMIF('1.0'!$D:$D,T_IS!D100,'1.0'!$N:$N),0)</f>
        <v>0</v>
      </c>
      <c r="N100" s="7">
        <f>-ROUND(SUMIF('2.0'!$D:$D,T_IS!D100,'2.0'!$N:$N),0)</f>
        <v>0</v>
      </c>
      <c r="O100" s="7">
        <f>ROUND(SUMIF('3.0'!$D:$D,T_IS!D100,'3.0'!$H:$H),0)</f>
        <v>0</v>
      </c>
      <c r="P100" s="7">
        <f>-ROUND(SUMIF('4.0'!$D:$D,T_IS!D100,'4.0'!$N:$N),0)</f>
        <v>0</v>
      </c>
      <c r="Q100" s="7">
        <f>-ROUND(SUMIF('5.0'!$D:$D,T_IS!D100,'5.0'!$N:$N),0)</f>
        <v>0</v>
      </c>
      <c r="R100" s="7">
        <f>ROUND(SUMIF('6.0'!$D:$D,T_IS!D100,'6.0'!$N:$N),0)</f>
        <v>0</v>
      </c>
      <c r="S100" s="7">
        <f>-ROUND(SUMIF('7.0'!$D:$D,T_IS!D100,'7.0'!$I:$I),0)</f>
        <v>0</v>
      </c>
      <c r="T100" s="7">
        <f>-ROUND(SUMIF('8.0'!$D:$D,T_IS!F100,'8.0'!$H:$H),0)</f>
        <v>0</v>
      </c>
      <c r="U100" s="347">
        <f>SUM(M100:T100)</f>
        <v>0</v>
      </c>
      <c r="W100" s="39">
        <f>U100+K100</f>
        <v>0</v>
      </c>
      <c r="Y100" s="7"/>
      <c r="Z100" s="39">
        <v>0</v>
      </c>
      <c r="AA100" s="7">
        <f t="shared" si="14"/>
        <v>0</v>
      </c>
      <c r="AB100" s="7"/>
      <c r="AC100" s="7">
        <v>0</v>
      </c>
      <c r="AD100" s="7">
        <v>0</v>
      </c>
      <c r="AE100" s="7">
        <v>0</v>
      </c>
      <c r="AF100" s="7">
        <v>0</v>
      </c>
      <c r="AG100" s="7">
        <v>0</v>
      </c>
    </row>
    <row r="101" spans="1:33" ht="18" customHeight="1">
      <c r="A101" s="7"/>
      <c r="D101" s="14" t="s">
        <v>1816</v>
      </c>
      <c r="E101" s="6" t="s">
        <v>354</v>
      </c>
      <c r="F101" s="40" t="s">
        <v>612</v>
      </c>
      <c r="G101" s="6" t="s">
        <v>1967</v>
      </c>
      <c r="H101" s="5">
        <v>0</v>
      </c>
      <c r="I101" s="7">
        <v>0</v>
      </c>
      <c r="J101" s="7">
        <v>0</v>
      </c>
      <c r="K101" s="15">
        <f>SUM(H101:J101)</f>
        <v>0</v>
      </c>
      <c r="M101" s="345"/>
      <c r="N101" s="7">
        <f>-ROUND(SUMIF('2.0'!$D:$D,T_IS!D101,'2.0'!$N:$N),0)</f>
        <v>0</v>
      </c>
      <c r="O101" s="7">
        <f>ROUND(SUMIF('3.0'!$D:$D,T_IS!D101,'3.0'!$H:$H),0)</f>
        <v>0</v>
      </c>
      <c r="P101" s="7"/>
      <c r="Q101" s="7">
        <f>-ROUND(SUMIF('5.0'!$D:$D,T_IS!D101,'5.0'!$N:$N),0)</f>
        <v>0</v>
      </c>
      <c r="R101" s="7">
        <f>ROUND(SUMIF('6.0'!$D:$D,T_IS!D101,'6.0'!$N:$N),0)</f>
        <v>0</v>
      </c>
      <c r="S101" s="7">
        <f>-ROUND(SUMIF('7.0'!$D:$D,T_IS!D101,'7.0'!$I:$I),0)</f>
        <v>0</v>
      </c>
      <c r="T101" s="7">
        <f>-ROUND(SUMIF('8.0'!$D:$D,T_IS!F101,'8.0'!$H:$H),0)</f>
        <v>0</v>
      </c>
      <c r="U101" s="347">
        <f>SUM(M101:T101)</f>
        <v>0</v>
      </c>
      <c r="W101" s="39">
        <f>U101+K101</f>
        <v>0</v>
      </c>
      <c r="Y101" s="7"/>
      <c r="Z101" s="39">
        <v>0</v>
      </c>
      <c r="AA101" s="7">
        <f t="shared" si="14"/>
        <v>0</v>
      </c>
      <c r="AB101" s="7"/>
      <c r="AC101" s="7">
        <v>0</v>
      </c>
      <c r="AD101" s="7">
        <v>0</v>
      </c>
      <c r="AE101" s="7">
        <v>0</v>
      </c>
      <c r="AF101" s="7">
        <v>0</v>
      </c>
      <c r="AG101" s="7">
        <v>0</v>
      </c>
    </row>
    <row r="102" spans="1:33" ht="18" customHeight="1">
      <c r="A102" s="7"/>
      <c r="D102" s="14" t="s">
        <v>359</v>
      </c>
      <c r="E102" s="6" t="s">
        <v>354</v>
      </c>
      <c r="F102" s="40">
        <v>603</v>
      </c>
      <c r="G102" s="6" t="s">
        <v>1968</v>
      </c>
      <c r="H102" s="5">
        <v>90154599</v>
      </c>
      <c r="I102" s="7">
        <v>650575</v>
      </c>
      <c r="J102" s="7">
        <v>106368911</v>
      </c>
      <c r="K102" s="15">
        <f>SUM(H102:J102)</f>
        <v>197174085</v>
      </c>
      <c r="M102" s="345">
        <f>-ROUND(SUMIF('1.0'!$D:$D,T_IS!D102,'1.0'!$N:$N),0)</f>
        <v>0</v>
      </c>
      <c r="N102" s="7">
        <f>-ROUND(SUMIF('2.0'!$D:$D,T_IS!D102,'2.0'!$N:$N),0)</f>
        <v>0</v>
      </c>
      <c r="O102" s="7">
        <f>ROUND(SUMIF('3.0'!$D:$D,T_IS!D102,'3.0'!$H:$H),0)</f>
        <v>0</v>
      </c>
      <c r="P102" s="7">
        <f>-ROUND(SUMIF('4.0'!$D:$D,T_IS!D102,'4.0'!$N:$N),0)</f>
        <v>0</v>
      </c>
      <c r="Q102" s="7">
        <f>-ROUND(SUMIF('5.0'!$D:$D,T_IS!D102,'5.0'!$N:$N),0)</f>
        <v>0</v>
      </c>
      <c r="R102" s="7">
        <f>ROUND(SUMIF('6.0'!$D:$D,T_IS!D102,'6.0'!$N:$N),0)</f>
        <v>0</v>
      </c>
      <c r="S102" s="7">
        <f>-ROUND(SUMIF('7.0'!$D:$D,T_IS!D102,'7.0'!$I:$I),0)</f>
        <v>0</v>
      </c>
      <c r="T102" s="7">
        <f>-ROUND(SUMIF('8.0'!$D:$D,T_IS!F102,'8.0'!$H:$H),0)</f>
        <v>0</v>
      </c>
      <c r="U102" s="347">
        <f>SUM(M102:T102)</f>
        <v>0</v>
      </c>
      <c r="W102" s="39">
        <f>U102+K102</f>
        <v>197174085</v>
      </c>
      <c r="Y102" s="7"/>
      <c r="Z102" s="39">
        <v>117981308</v>
      </c>
      <c r="AA102" s="7">
        <f t="shared" si="14"/>
        <v>79192777</v>
      </c>
      <c r="AB102" s="7"/>
      <c r="AC102" s="7">
        <v>0</v>
      </c>
      <c r="AD102" s="7">
        <v>486288</v>
      </c>
      <c r="AE102" s="7">
        <v>78706489</v>
      </c>
      <c r="AF102" s="7">
        <v>0</v>
      </c>
      <c r="AG102" s="7">
        <v>79192777</v>
      </c>
    </row>
    <row r="103" spans="1:33" ht="18" customHeight="1">
      <c r="A103" s="7"/>
      <c r="D103" s="13"/>
      <c r="E103" s="34"/>
      <c r="F103" s="291"/>
      <c r="G103" s="34" t="s">
        <v>361</v>
      </c>
      <c r="H103" s="484">
        <f>SUM(H104:H112)</f>
        <v>5137673466</v>
      </c>
      <c r="I103" s="417">
        <f>SUM(I104:I112)</f>
        <v>542159794</v>
      </c>
      <c r="J103" s="417">
        <f>SUM(J104:J112)</f>
        <v>6190261</v>
      </c>
      <c r="K103" s="645">
        <f>SUM(K104:K112)</f>
        <v>5686023521</v>
      </c>
      <c r="M103" s="659">
        <f t="shared" ref="M103:U103" si="25">SUM(M104:M112)</f>
        <v>0</v>
      </c>
      <c r="N103" s="417">
        <f t="shared" si="25"/>
        <v>0</v>
      </c>
      <c r="O103" s="417">
        <f t="shared" si="25"/>
        <v>0</v>
      </c>
      <c r="P103" s="417">
        <f t="shared" si="25"/>
        <v>0</v>
      </c>
      <c r="Q103" s="417">
        <f t="shared" si="25"/>
        <v>4808712105</v>
      </c>
      <c r="R103" s="417">
        <f t="shared" si="25"/>
        <v>0</v>
      </c>
      <c r="S103" s="417">
        <f t="shared" si="25"/>
        <v>0</v>
      </c>
      <c r="T103" s="417">
        <f t="shared" si="25"/>
        <v>0</v>
      </c>
      <c r="U103" s="660">
        <f t="shared" si="25"/>
        <v>4808712105</v>
      </c>
      <c r="W103" s="36">
        <f>SUM(W104:W112)</f>
        <v>10494735626</v>
      </c>
      <c r="Y103" s="7"/>
      <c r="Z103" s="36">
        <v>10494735626</v>
      </c>
      <c r="AA103" s="7">
        <f t="shared" si="14"/>
        <v>0</v>
      </c>
      <c r="AB103" s="7"/>
      <c r="AC103" s="7">
        <v>0</v>
      </c>
      <c r="AD103" s="7">
        <v>0</v>
      </c>
      <c r="AE103" s="7">
        <v>0</v>
      </c>
      <c r="AF103" s="7">
        <v>0</v>
      </c>
      <c r="AG103" s="7">
        <v>0</v>
      </c>
    </row>
    <row r="104" spans="1:33" ht="18" customHeight="1">
      <c r="A104" s="7"/>
      <c r="D104" s="14" t="s">
        <v>362</v>
      </c>
      <c r="E104" s="6" t="s">
        <v>361</v>
      </c>
      <c r="F104" s="40">
        <v>706</v>
      </c>
      <c r="G104" s="6" t="s">
        <v>1969</v>
      </c>
      <c r="H104" s="5">
        <v>739928110</v>
      </c>
      <c r="I104" s="7">
        <v>0</v>
      </c>
      <c r="J104" s="7">
        <v>0</v>
      </c>
      <c r="K104" s="15">
        <f t="shared" ref="K104:K112" si="26">SUM(H104:J104)</f>
        <v>739928110</v>
      </c>
      <c r="M104" s="345">
        <f>ROUND(SUMIF('1.0'!$D:$D,T_IS!D104,'1.0'!$N:$N),0)</f>
        <v>0</v>
      </c>
      <c r="N104" s="7">
        <f>ROUND(SUMIF('2.0'!$D:$D,T_IS!D104,'2.0'!$N:$N),0)</f>
        <v>0</v>
      </c>
      <c r="O104" s="7">
        <f>ROUND(SUMIF('3.0'!$D:$D,T_IS!D104,'3.0'!$H:$H),0)</f>
        <v>0</v>
      </c>
      <c r="P104" s="7">
        <f>ROUND(SUMIF('4.0'!$D:$D,T_IS!D104,'4.0'!$N:$N),0)</f>
        <v>0</v>
      </c>
      <c r="Q104" s="7">
        <f>ROUND(SUMIF('5.0'!$D:$D,T_IS!D104,'5.0'!$N:$N),0)</f>
        <v>4808712105</v>
      </c>
      <c r="R104" s="7">
        <f>ROUND(SUMIF('6.0'!$D:$D,T_IS!D104,'6.0'!$N:$N),0)</f>
        <v>0</v>
      </c>
      <c r="S104" s="7">
        <f>ROUND(SUMIF('7.0'!$D:$D,T_IS!D104,'7.0'!$I:$I),0)</f>
        <v>0</v>
      </c>
      <c r="T104" s="7">
        <f>ROUND(SUMIF('8.0'!$D:$D,T_IS!F104,'8.0'!$H:$H),0)</f>
        <v>0</v>
      </c>
      <c r="U104" s="347">
        <f t="shared" ref="U104:U112" si="27">SUM(M104:T104)</f>
        <v>4808712105</v>
      </c>
      <c r="W104" s="39">
        <f t="shared" ref="W104:W112" si="28">U104+K104</f>
        <v>5548640215</v>
      </c>
      <c r="Y104" s="7"/>
      <c r="Z104" s="39">
        <v>5548640215</v>
      </c>
      <c r="AA104" s="7">
        <f t="shared" si="14"/>
        <v>0</v>
      </c>
      <c r="AB104" s="7"/>
      <c r="AC104" s="7">
        <v>0</v>
      </c>
      <c r="AD104" s="7">
        <v>0</v>
      </c>
      <c r="AE104" s="7">
        <v>0</v>
      </c>
      <c r="AF104" s="7">
        <v>0</v>
      </c>
      <c r="AG104" s="7">
        <v>0</v>
      </c>
    </row>
    <row r="105" spans="1:33" ht="18" customHeight="1">
      <c r="A105" s="7"/>
      <c r="D105" s="14" t="s">
        <v>364</v>
      </c>
      <c r="E105" s="6" t="s">
        <v>361</v>
      </c>
      <c r="F105" s="40">
        <v>701</v>
      </c>
      <c r="G105" s="6" t="s">
        <v>1970</v>
      </c>
      <c r="H105" s="5">
        <v>1000</v>
      </c>
      <c r="I105" s="7">
        <v>0</v>
      </c>
      <c r="J105" s="7">
        <v>0</v>
      </c>
      <c r="K105" s="15">
        <f t="shared" si="26"/>
        <v>1000</v>
      </c>
      <c r="M105" s="345">
        <f>ROUND(SUMIF('1.0'!$D:$D,T_IS!D105,'1.0'!$N:$N),0)</f>
        <v>0</v>
      </c>
      <c r="N105" s="7">
        <f>ROUND(SUMIF('2.0'!$D:$D,T_IS!D105,'2.0'!$N:$N),0)</f>
        <v>0</v>
      </c>
      <c r="O105" s="7">
        <f>ROUND(SUMIF('3.0'!$D:$D,T_IS!D105,'3.0'!$H:$H),0)</f>
        <v>0</v>
      </c>
      <c r="P105" s="7">
        <f>ROUND(SUMIF('4.0'!$D:$D,T_IS!D105,'4.0'!$N:$N),0)</f>
        <v>0</v>
      </c>
      <c r="Q105" s="7">
        <f>ROUND(SUMIF('5.0'!$D:$D,T_IS!D105,'5.0'!$N:$N),0)</f>
        <v>0</v>
      </c>
      <c r="R105" s="7">
        <f>ROUND(SUMIF('6.0'!$D:$D,T_IS!D105,'6.0'!$N:$N),0)</f>
        <v>0</v>
      </c>
      <c r="S105" s="7">
        <f>ROUND(SUMIF('7.0'!$D:$D,T_IS!D105,'7.0'!$I:$I),0)</f>
        <v>0</v>
      </c>
      <c r="T105" s="7">
        <f>ROUND(SUMIF('8.0'!$D:$D,T_IS!F105,'8.0'!$H:$H),0)</f>
        <v>0</v>
      </c>
      <c r="U105" s="347">
        <f t="shared" si="27"/>
        <v>0</v>
      </c>
      <c r="W105" s="39">
        <f t="shared" si="28"/>
        <v>1000</v>
      </c>
      <c r="Y105" s="7">
        <f>W99-W105</f>
        <v>2239200</v>
      </c>
      <c r="Z105" s="39">
        <v>1000</v>
      </c>
      <c r="AA105" s="7">
        <f t="shared" si="14"/>
        <v>0</v>
      </c>
      <c r="AB105" s="7"/>
      <c r="AC105" s="7">
        <v>0</v>
      </c>
      <c r="AD105" s="7">
        <v>0</v>
      </c>
      <c r="AE105" s="7">
        <v>0</v>
      </c>
      <c r="AF105" s="7">
        <v>0</v>
      </c>
      <c r="AG105" s="7">
        <v>0</v>
      </c>
    </row>
    <row r="106" spans="1:33" s="38" customFormat="1" ht="18" customHeight="1">
      <c r="A106" s="7"/>
      <c r="D106" s="658" t="s">
        <v>1602</v>
      </c>
      <c r="E106" s="38" t="s">
        <v>361</v>
      </c>
      <c r="F106" s="37">
        <v>705</v>
      </c>
      <c r="G106" s="38" t="s">
        <v>1971</v>
      </c>
      <c r="H106" s="5">
        <v>598158</v>
      </c>
      <c r="I106" s="7">
        <v>0</v>
      </c>
      <c r="J106" s="7">
        <v>0</v>
      </c>
      <c r="K106" s="15">
        <f t="shared" si="26"/>
        <v>598158</v>
      </c>
      <c r="M106" s="345">
        <f>ROUND(SUMIF('1.0'!$D:$D,T_IS!D106,'1.0'!$N:$N),0)</f>
        <v>0</v>
      </c>
      <c r="N106" s="7">
        <f>ROUND(SUMIF('2.0'!$D:$D,T_IS!D106,'2.0'!$N:$N),0)</f>
        <v>0</v>
      </c>
      <c r="O106" s="7">
        <f>ROUND(SUMIF('3.0'!$D:$D,T_IS!D106,'3.0'!$H:$H),0)</f>
        <v>0</v>
      </c>
      <c r="P106" s="7">
        <f>ROUND(SUMIF('4.0'!$D:$D,T_IS!D106,'4.0'!$N:$N),0)</f>
        <v>0</v>
      </c>
      <c r="Q106" s="7">
        <f>ROUND(SUMIF('5.0'!$D:$D,T_IS!D106,'5.0'!$N:$N),0)</f>
        <v>0</v>
      </c>
      <c r="R106" s="7">
        <f>ROUND(SUMIF('6.0'!$D:$D,T_IS!D106,'6.0'!$N:$N),0)</f>
        <v>0</v>
      </c>
      <c r="S106" s="7">
        <f>ROUND(SUMIF('7.0'!$D:$D,T_IS!D106,'7.0'!$I:$I),0)</f>
        <v>0</v>
      </c>
      <c r="T106" s="7">
        <f>ROUND(SUMIF('8.0'!$D:$D,T_IS!F106,'8.0'!$H:$H),0)</f>
        <v>0</v>
      </c>
      <c r="U106" s="347">
        <f t="shared" si="27"/>
        <v>0</v>
      </c>
      <c r="W106" s="39">
        <f t="shared" si="28"/>
        <v>598158</v>
      </c>
      <c r="Y106" s="7"/>
      <c r="Z106" s="39">
        <v>598158</v>
      </c>
      <c r="AA106" s="7">
        <f t="shared" si="14"/>
        <v>0</v>
      </c>
      <c r="AB106" s="7"/>
      <c r="AC106" s="7">
        <v>0</v>
      </c>
      <c r="AD106" s="7">
        <v>0</v>
      </c>
      <c r="AE106" s="7">
        <v>0</v>
      </c>
      <c r="AF106" s="7">
        <v>0</v>
      </c>
      <c r="AG106" s="7">
        <v>0</v>
      </c>
    </row>
    <row r="107" spans="1:33" s="38" customFormat="1" ht="18" customHeight="1">
      <c r="A107" s="7"/>
      <c r="B107" s="38" t="s">
        <v>1589</v>
      </c>
      <c r="D107" s="658" t="s">
        <v>1777</v>
      </c>
      <c r="E107" s="38" t="s">
        <v>361</v>
      </c>
      <c r="F107" s="37">
        <v>702</v>
      </c>
      <c r="G107" s="38" t="s">
        <v>1779</v>
      </c>
      <c r="H107" s="5">
        <v>0</v>
      </c>
      <c r="I107" s="7">
        <v>0</v>
      </c>
      <c r="J107" s="7">
        <v>0</v>
      </c>
      <c r="K107" s="15">
        <f t="shared" si="26"/>
        <v>0</v>
      </c>
      <c r="M107" s="345">
        <f>ROUND(SUMIF('1.0'!$D:$D,T_IS!D107,'1.0'!$N:$N),0)</f>
        <v>0</v>
      </c>
      <c r="N107" s="7">
        <f>ROUND(SUMIF('2.0'!$D:$D,T_IS!D107,'2.0'!$N:$N),0)</f>
        <v>0</v>
      </c>
      <c r="O107" s="7">
        <f>ROUND(SUMIF('3.0'!$D:$D,T_IS!D107,'3.0'!$H:$H),0)</f>
        <v>0</v>
      </c>
      <c r="P107" s="7">
        <f>ROUND(SUMIF('4.0'!$D:$D,T_IS!D107,'4.0'!$N:$N),0)</f>
        <v>0</v>
      </c>
      <c r="Q107" s="7">
        <f>ROUND(SUMIF('5.0'!$D:$D,T_IS!D107,'5.0'!$N:$N),0)</f>
        <v>0</v>
      </c>
      <c r="R107" s="7">
        <f>ROUND(SUMIF('6.0'!$D:$D,T_IS!D107,'6.0'!$N:$N),0)</f>
        <v>0</v>
      </c>
      <c r="S107" s="7">
        <f>ROUND(SUMIF('7.0'!$D:$D,T_IS!D107,'7.0'!$I:$I),0)</f>
        <v>0</v>
      </c>
      <c r="T107" s="7">
        <f>ROUND(SUMIF('8.0'!$D:$D,T_IS!F107,'8.0'!$H:$H),0)</f>
        <v>0</v>
      </c>
      <c r="U107" s="347">
        <f t="shared" si="27"/>
        <v>0</v>
      </c>
      <c r="W107" s="39">
        <f t="shared" si="28"/>
        <v>0</v>
      </c>
      <c r="Y107" s="7"/>
      <c r="Z107" s="39">
        <v>0</v>
      </c>
      <c r="AA107" s="7">
        <f t="shared" si="14"/>
        <v>0</v>
      </c>
      <c r="AB107" s="7"/>
      <c r="AC107" s="7">
        <v>0</v>
      </c>
      <c r="AD107" s="7">
        <v>0</v>
      </c>
      <c r="AE107" s="7">
        <v>0</v>
      </c>
      <c r="AF107" s="7">
        <v>0</v>
      </c>
      <c r="AG107" s="7">
        <v>0</v>
      </c>
    </row>
    <row r="108" spans="1:33" s="38" customFormat="1" ht="18" customHeight="1">
      <c r="A108" s="7"/>
      <c r="D108" s="658" t="s">
        <v>366</v>
      </c>
      <c r="E108" s="38" t="s">
        <v>361</v>
      </c>
      <c r="F108" s="37">
        <v>333</v>
      </c>
      <c r="G108" s="38" t="s">
        <v>1972</v>
      </c>
      <c r="H108" s="5">
        <v>0</v>
      </c>
      <c r="I108" s="7">
        <v>0</v>
      </c>
      <c r="J108" s="7">
        <v>0</v>
      </c>
      <c r="K108" s="15">
        <f t="shared" si="26"/>
        <v>0</v>
      </c>
      <c r="M108" s="345">
        <f>ROUND(SUMIF('1.0'!$D:$D,T_IS!D108,'1.0'!$N:$N),0)</f>
        <v>0</v>
      </c>
      <c r="N108" s="7">
        <f>ROUND(SUMIF('2.0'!$D:$D,T_IS!D108,'2.0'!$N:$N),0)</f>
        <v>0</v>
      </c>
      <c r="O108" s="7">
        <f>ROUND(SUMIF('3.0'!$D:$D,T_IS!D108,'3.0'!$H:$H),0)</f>
        <v>0</v>
      </c>
      <c r="P108" s="7">
        <f>ROUND(SUMIF('4.0'!$D:$D,T_IS!D108,'4.0'!$N:$N),0)</f>
        <v>0</v>
      </c>
      <c r="Q108" s="7">
        <f>ROUND(SUMIF('5.0'!$D:$D,T_IS!D108,'5.0'!$N:$N),0)</f>
        <v>0</v>
      </c>
      <c r="R108" s="7">
        <f>ROUND(SUMIF('6.0'!$D:$D,T_IS!D108,'6.0'!$N:$N),0)</f>
        <v>0</v>
      </c>
      <c r="S108" s="7">
        <f>ROUND(SUMIF('7.0'!$D:$D,T_IS!D108,'7.0'!$I:$I),0)</f>
        <v>0</v>
      </c>
      <c r="T108" s="7">
        <f>ROUND(SUMIF('8.0'!$D:$D,T_IS!F108,'8.0'!$H:$H),0)</f>
        <v>0</v>
      </c>
      <c r="U108" s="347">
        <f t="shared" si="27"/>
        <v>0</v>
      </c>
      <c r="W108" s="39">
        <f t="shared" si="28"/>
        <v>0</v>
      </c>
      <c r="Y108" s="7"/>
      <c r="Z108" s="39">
        <v>0</v>
      </c>
      <c r="AA108" s="7">
        <f t="shared" si="14"/>
        <v>0</v>
      </c>
      <c r="AB108" s="7"/>
      <c r="AC108" s="7">
        <v>0</v>
      </c>
      <c r="AD108" s="7">
        <v>0</v>
      </c>
      <c r="AE108" s="7">
        <v>0</v>
      </c>
      <c r="AF108" s="7">
        <v>0</v>
      </c>
      <c r="AG108" s="7">
        <v>0</v>
      </c>
    </row>
    <row r="109" spans="1:33" s="38" customFormat="1" ht="18" customHeight="1">
      <c r="A109" s="7"/>
      <c r="D109" s="658" t="s">
        <v>368</v>
      </c>
      <c r="E109" s="38" t="s">
        <v>361</v>
      </c>
      <c r="F109" s="37">
        <v>704</v>
      </c>
      <c r="G109" s="38" t="s">
        <v>1973</v>
      </c>
      <c r="H109" s="5">
        <v>195646198</v>
      </c>
      <c r="I109" s="7">
        <v>542159794</v>
      </c>
      <c r="J109" s="7">
        <v>4422149</v>
      </c>
      <c r="K109" s="15">
        <f t="shared" si="26"/>
        <v>742228141</v>
      </c>
      <c r="M109" s="345">
        <f>ROUND(SUMIF('1.0'!$D:$D,T_IS!D109,'1.0'!$N:$N),0)</f>
        <v>0</v>
      </c>
      <c r="N109" s="7">
        <f>ROUND(SUMIF('2.0'!$D:$D,T_IS!D109,'2.0'!$N:$N),0)</f>
        <v>0</v>
      </c>
      <c r="O109" s="7">
        <f>ROUND(SUMIF('3.0'!$D:$D,T_IS!D109,'3.0'!$H:$H),0)</f>
        <v>0</v>
      </c>
      <c r="P109" s="7">
        <f>ROUND(SUMIF('4.0'!$D:$D,T_IS!D109,'4.0'!$N:$N),0)</f>
        <v>0</v>
      </c>
      <c r="Q109" s="7">
        <f>ROUND(SUMIF('5.0'!$D:$D,T_IS!D109,'5.0'!$N:$N),0)</f>
        <v>0</v>
      </c>
      <c r="R109" s="7">
        <f>ROUND(SUMIF('6.0'!$D:$D,T_IS!D109,'6.0'!$N:$N),0)</f>
        <v>0</v>
      </c>
      <c r="S109" s="7">
        <f>ROUND(SUMIF('7.0'!$D:$D,T_IS!D109,'7.0'!$I:$I),0)</f>
        <v>0</v>
      </c>
      <c r="T109" s="7">
        <f>ROUND(SUMIF('8.0'!$D:$D,T_IS!F109,'8.0'!$H:$H),0)</f>
        <v>0</v>
      </c>
      <c r="U109" s="347">
        <f t="shared" si="27"/>
        <v>0</v>
      </c>
      <c r="W109" s="39">
        <f t="shared" si="28"/>
        <v>742228141</v>
      </c>
      <c r="Y109" s="7"/>
      <c r="Z109" s="39">
        <v>742228141</v>
      </c>
      <c r="AA109" s="7">
        <f t="shared" si="14"/>
        <v>0</v>
      </c>
      <c r="AB109" s="7"/>
      <c r="AC109" s="7">
        <v>0</v>
      </c>
      <c r="AD109" s="7">
        <v>0</v>
      </c>
      <c r="AE109" s="7">
        <v>0</v>
      </c>
      <c r="AF109" s="7">
        <v>0</v>
      </c>
      <c r="AG109" s="7">
        <v>0</v>
      </c>
    </row>
    <row r="110" spans="1:33" s="38" customFormat="1" ht="18" customHeight="1">
      <c r="A110" s="7"/>
      <c r="B110" s="38" t="s">
        <v>1589</v>
      </c>
      <c r="D110" s="658">
        <v>732100</v>
      </c>
      <c r="E110" s="38" t="s">
        <v>361</v>
      </c>
      <c r="F110" s="37">
        <v>708</v>
      </c>
      <c r="G110" s="38" t="s">
        <v>1605</v>
      </c>
      <c r="H110" s="5">
        <v>1500000</v>
      </c>
      <c r="I110" s="7">
        <v>0</v>
      </c>
      <c r="J110" s="7">
        <v>1768112</v>
      </c>
      <c r="K110" s="15">
        <f t="shared" si="26"/>
        <v>3268112</v>
      </c>
      <c r="M110" s="345">
        <f>ROUND(SUMIF('1.0'!$D:$D,T_IS!D110,'1.0'!$N:$N),0)</f>
        <v>0</v>
      </c>
      <c r="N110" s="7">
        <f>ROUND(SUMIF('2.0'!$D:$D,T_IS!D110,'2.0'!$N:$N),0)</f>
        <v>0</v>
      </c>
      <c r="O110" s="7">
        <f>ROUND(SUMIF('3.0'!$D:$D,T_IS!D110,'3.0'!$H:$H),0)</f>
        <v>0</v>
      </c>
      <c r="P110" s="7">
        <f>ROUND(SUMIF('4.0'!$D:$D,T_IS!D110,'4.0'!$N:$N),0)</f>
        <v>0</v>
      </c>
      <c r="Q110" s="7">
        <f>ROUND(SUMIF('5.0'!$D:$D,T_IS!D110,'5.0'!$N:$N),0)</f>
        <v>0</v>
      </c>
      <c r="R110" s="7">
        <f>ROUND(SUMIF('6.0'!$D:$D,T_IS!D110,'6.0'!$N:$N),0)</f>
        <v>0</v>
      </c>
      <c r="S110" s="7">
        <f>ROUND(SUMIF('7.0'!$D:$D,T_IS!D110,'7.0'!$I:$I),0)</f>
        <v>0</v>
      </c>
      <c r="T110" s="7">
        <f>ROUND(SUMIF('8.0'!$D:$D,T_IS!F110,'8.0'!$H:$H),0)</f>
        <v>0</v>
      </c>
      <c r="U110" s="347">
        <f t="shared" si="27"/>
        <v>0</v>
      </c>
      <c r="W110" s="39">
        <f t="shared" si="28"/>
        <v>3268112</v>
      </c>
      <c r="Y110" s="7"/>
      <c r="Z110" s="39">
        <v>3268112</v>
      </c>
      <c r="AA110" s="7">
        <f t="shared" si="14"/>
        <v>0</v>
      </c>
      <c r="AB110" s="7"/>
      <c r="AC110" s="7">
        <v>0</v>
      </c>
      <c r="AD110" s="7">
        <v>0</v>
      </c>
      <c r="AE110" s="7">
        <v>0</v>
      </c>
      <c r="AF110" s="7">
        <v>0</v>
      </c>
      <c r="AG110" s="7">
        <v>0</v>
      </c>
    </row>
    <row r="111" spans="1:33" s="38" customFormat="1" ht="18" customHeight="1">
      <c r="A111" s="7"/>
      <c r="D111" s="658" t="s">
        <v>1865</v>
      </c>
      <c r="E111" s="38" t="s">
        <v>361</v>
      </c>
      <c r="F111" s="37">
        <v>703</v>
      </c>
      <c r="G111" s="38" t="s">
        <v>764</v>
      </c>
      <c r="H111" s="5">
        <v>4200000000</v>
      </c>
      <c r="I111" s="7">
        <v>0</v>
      </c>
      <c r="J111" s="7">
        <v>0</v>
      </c>
      <c r="K111" s="15">
        <f t="shared" si="26"/>
        <v>4200000000</v>
      </c>
      <c r="M111" s="345">
        <f>ROUND(SUMIF('1.0'!$D:$D,T_IS!D111,'1.0'!$N:$N),0)</f>
        <v>0</v>
      </c>
      <c r="N111" s="7">
        <f>ROUND(SUMIF('2.0'!$D:$D,T_IS!D111,'2.0'!$N:$N),0)</f>
        <v>0</v>
      </c>
      <c r="O111" s="7">
        <f>ROUND(SUMIF('3.0'!$D:$D,T_IS!D111,'3.0'!$H:$H),0)</f>
        <v>0</v>
      </c>
      <c r="P111" s="7">
        <f>ROUND(SUMIF('4.0'!$D:$D,T_IS!D111,'4.0'!$N:$N),0)</f>
        <v>0</v>
      </c>
      <c r="Q111" s="7">
        <f>ROUND(SUMIF('5.0'!$D:$D,T_IS!D111,'5.0'!$N:$N),0)</f>
        <v>0</v>
      </c>
      <c r="R111" s="7">
        <f>ROUND(SUMIF('6.0'!$D:$D,T_IS!D111,'6.0'!$N:$N),0)</f>
        <v>0</v>
      </c>
      <c r="S111" s="7">
        <f>ROUND(SUMIF('7.0'!$D:$D,T_IS!D111,'7.0'!$I:$I),0)</f>
        <v>0</v>
      </c>
      <c r="T111" s="7">
        <f>ROUND(SUMIF('8.0'!$D:$D,T_IS!F111,'8.0'!$H:$H),0)</f>
        <v>0</v>
      </c>
      <c r="U111" s="347">
        <f t="shared" si="27"/>
        <v>0</v>
      </c>
      <c r="W111" s="39">
        <f t="shared" si="28"/>
        <v>4200000000</v>
      </c>
      <c r="Y111" s="7"/>
      <c r="Z111" s="39">
        <v>4200000000</v>
      </c>
      <c r="AA111" s="7">
        <f t="shared" si="14"/>
        <v>0</v>
      </c>
      <c r="AB111" s="7"/>
      <c r="AC111" s="7">
        <v>0</v>
      </c>
      <c r="AD111" s="7">
        <v>0</v>
      </c>
      <c r="AE111" s="7">
        <v>0</v>
      </c>
      <c r="AF111" s="7">
        <v>0</v>
      </c>
      <c r="AG111" s="7">
        <v>0</v>
      </c>
    </row>
    <row r="112" spans="1:33" ht="18" customHeight="1">
      <c r="A112" s="7"/>
      <c r="D112" s="43" t="s">
        <v>483</v>
      </c>
      <c r="E112" s="6" t="s">
        <v>361</v>
      </c>
      <c r="F112" s="40">
        <v>709</v>
      </c>
      <c r="G112" s="6" t="s">
        <v>482</v>
      </c>
      <c r="H112" s="5">
        <v>0</v>
      </c>
      <c r="I112" s="7">
        <v>0</v>
      </c>
      <c r="J112" s="7">
        <v>0</v>
      </c>
      <c r="K112" s="15">
        <f t="shared" si="26"/>
        <v>0</v>
      </c>
      <c r="M112" s="345">
        <f>ROUND(SUMIF('1.0'!$D:$D,T_IS!D112,'1.0'!$N:$N),0)</f>
        <v>0</v>
      </c>
      <c r="N112" s="7">
        <f>ROUND(SUMIF('2.0'!$D:$D,T_IS!D112,'2.0'!$N:$N),0)</f>
        <v>0</v>
      </c>
      <c r="O112" s="7">
        <f>ROUND(SUMIF('3.0'!$D:$D,T_IS!D112,'3.0'!$H:$H),0)</f>
        <v>0</v>
      </c>
      <c r="P112" s="7">
        <f>ROUND(SUMIF('4.0'!$D:$D,T_IS!D112,'4.0'!$N:$N),0)</f>
        <v>0</v>
      </c>
      <c r="Q112" s="7">
        <f>ROUND(SUMIF('5.0'!$D:$D,T_IS!D112,'5.0'!$N:$N),0)</f>
        <v>0</v>
      </c>
      <c r="R112" s="7">
        <f>ROUND(SUMIF('6.0'!$D:$D,T_IS!D112,'6.0'!$N:$N),0)</f>
        <v>0</v>
      </c>
      <c r="S112" s="7">
        <f>ROUND(SUMIF('7.0'!$D:$D,T_IS!D112,'7.0'!$I:$I),0)</f>
        <v>0</v>
      </c>
      <c r="T112" s="7">
        <f>ROUND(SUMIF('8.0'!$D:$D,T_IS!F112,'8.0'!$H:$H),0)</f>
        <v>0</v>
      </c>
      <c r="U112" s="347">
        <f t="shared" si="27"/>
        <v>0</v>
      </c>
      <c r="W112" s="39">
        <f t="shared" si="28"/>
        <v>0</v>
      </c>
      <c r="Y112" s="7"/>
      <c r="Z112" s="39">
        <v>0</v>
      </c>
      <c r="AA112" s="7">
        <f t="shared" si="14"/>
        <v>0</v>
      </c>
      <c r="AB112" s="7"/>
      <c r="AC112" s="7">
        <v>0</v>
      </c>
      <c r="AD112" s="7">
        <v>0</v>
      </c>
      <c r="AE112" s="7">
        <v>0</v>
      </c>
      <c r="AF112" s="7">
        <v>0</v>
      </c>
      <c r="AG112" s="7">
        <v>0</v>
      </c>
    </row>
    <row r="113" spans="1:33" ht="18" customHeight="1">
      <c r="A113" s="7"/>
      <c r="D113" s="13"/>
      <c r="E113" s="34"/>
      <c r="F113" s="291"/>
      <c r="G113" s="34" t="s">
        <v>370</v>
      </c>
      <c r="H113" s="484">
        <f>SUM(H114:H116)</f>
        <v>0</v>
      </c>
      <c r="I113" s="417">
        <f>SUM(I114:I116)</f>
        <v>0</v>
      </c>
      <c r="J113" s="417">
        <f>SUM(J114:J116)</f>
        <v>0</v>
      </c>
      <c r="K113" s="645">
        <f>SUM(K114:K116)</f>
        <v>0</v>
      </c>
      <c r="M113" s="659">
        <f t="shared" ref="M113:U113" si="29">SUM(M114:M116)</f>
        <v>0</v>
      </c>
      <c r="N113" s="417">
        <f t="shared" si="29"/>
        <v>0</v>
      </c>
      <c r="O113" s="417">
        <f t="shared" si="29"/>
        <v>0</v>
      </c>
      <c r="P113" s="417">
        <f t="shared" si="29"/>
        <v>0</v>
      </c>
      <c r="Q113" s="417">
        <f t="shared" si="29"/>
        <v>0</v>
      </c>
      <c r="R113" s="417">
        <f t="shared" si="29"/>
        <v>0</v>
      </c>
      <c r="S113" s="417">
        <f t="shared" si="29"/>
        <v>0</v>
      </c>
      <c r="T113" s="417">
        <f t="shared" si="29"/>
        <v>0</v>
      </c>
      <c r="U113" s="660">
        <f t="shared" si="29"/>
        <v>0</v>
      </c>
      <c r="W113" s="36">
        <f>SUM(W114:W116)</f>
        <v>0</v>
      </c>
      <c r="Y113" s="7"/>
      <c r="Z113" s="36">
        <v>0</v>
      </c>
      <c r="AA113" s="7">
        <f t="shared" si="14"/>
        <v>0</v>
      </c>
      <c r="AB113" s="7"/>
      <c r="AC113" s="7">
        <v>0</v>
      </c>
      <c r="AD113" s="7">
        <v>0</v>
      </c>
      <c r="AE113" s="7">
        <v>0</v>
      </c>
      <c r="AF113" s="7">
        <v>0</v>
      </c>
      <c r="AG113" s="7">
        <v>0</v>
      </c>
    </row>
    <row r="114" spans="1:33" ht="18" customHeight="1">
      <c r="A114" s="7"/>
      <c r="D114" s="14" t="s">
        <v>371</v>
      </c>
      <c r="E114" s="6" t="s">
        <v>1902</v>
      </c>
      <c r="G114" s="6" t="s">
        <v>372</v>
      </c>
      <c r="H114" s="5">
        <v>0</v>
      </c>
      <c r="I114" s="7">
        <v>0</v>
      </c>
      <c r="J114" s="7">
        <v>0</v>
      </c>
      <c r="K114" s="15">
        <f>SUM(H114:J114)</f>
        <v>0</v>
      </c>
      <c r="M114" s="345">
        <f>-ROUND(SUMIF('1.0'!$D:$D,T_IS!D114,'1.0'!$N:$N),0)</f>
        <v>0</v>
      </c>
      <c r="N114" s="7">
        <f>-ROUND(SUMIF('2.0'!$D:$D,T_IS!D114,'2.0'!$N:$N),0)</f>
        <v>0</v>
      </c>
      <c r="O114" s="7">
        <f>-ROUND(SUMIF('3.0'!$D:$D,T_IS!D114,'3.0'!$H:$H),0)</f>
        <v>0</v>
      </c>
      <c r="P114" s="7">
        <f>-ROUND(SUMIF('4.0'!$D:$D,T_IS!D114,'4.0'!$N:$N),0)</f>
        <v>0</v>
      </c>
      <c r="Q114" s="7">
        <f>ROUND(SUMIF('5.0'!$D:$D,T_IS!D114,'5.0'!$N:$N),0)</f>
        <v>0</v>
      </c>
      <c r="R114" s="7">
        <f>ROUND(SUMIF('6.0'!$D:$D,T_IS!D114,'6.0'!$N:$N),0)</f>
        <v>0</v>
      </c>
      <c r="S114" s="7">
        <f>-ROUND(SUMIF('7.0'!$D:$D,T_IS!D114,'7.0'!$I:$I),0)</f>
        <v>0</v>
      </c>
      <c r="T114" s="7">
        <f>-ROUND(SUMIF('8.0'!$D:$D,T_IS!F114,'8.0'!$H:$H),0)</f>
        <v>0</v>
      </c>
      <c r="U114" s="347">
        <f>SUM(M114:T114)</f>
        <v>0</v>
      </c>
      <c r="W114" s="39">
        <f>U114+K114</f>
        <v>0</v>
      </c>
      <c r="Y114" s="7"/>
      <c r="Z114" s="39">
        <v>0</v>
      </c>
      <c r="AA114" s="7">
        <f t="shared" si="14"/>
        <v>0</v>
      </c>
      <c r="AB114" s="7"/>
      <c r="AC114" s="7">
        <v>0</v>
      </c>
      <c r="AD114" s="7">
        <v>0</v>
      </c>
      <c r="AE114" s="7">
        <v>0</v>
      </c>
      <c r="AF114" s="7">
        <v>0</v>
      </c>
      <c r="AG114" s="7">
        <v>0</v>
      </c>
    </row>
    <row r="115" spans="1:33" ht="18" customHeight="1">
      <c r="A115" s="7"/>
      <c r="D115" s="14" t="s">
        <v>373</v>
      </c>
      <c r="E115" s="6" t="s">
        <v>1902</v>
      </c>
      <c r="F115" s="40">
        <v>907</v>
      </c>
      <c r="G115" s="6" t="s">
        <v>374</v>
      </c>
      <c r="H115" s="5">
        <v>0</v>
      </c>
      <c r="I115" s="7">
        <v>0</v>
      </c>
      <c r="J115" s="7">
        <v>0</v>
      </c>
      <c r="K115" s="15">
        <f>SUM(H115:J115)</f>
        <v>0</v>
      </c>
      <c r="M115" s="345">
        <f>-ROUND(SUMIF('1.0'!$D:$D,T_IS!D115,'1.0'!$N:$N),0)</f>
        <v>0</v>
      </c>
      <c r="N115" s="7">
        <f>-ROUND(SUMIF('2.0'!$D:$D,T_IS!D115,'2.0'!$N:$N),0)</f>
        <v>0</v>
      </c>
      <c r="O115" s="7">
        <f>-ROUND(SUMIF('3.0'!$D:$D,T_IS!D115,'3.0'!$H:$H),0)</f>
        <v>0</v>
      </c>
      <c r="P115" s="7">
        <f>-ROUND(SUMIF('4.0'!$D:$D,T_IS!D115,'4.0'!$N:$N),0)</f>
        <v>0</v>
      </c>
      <c r="Q115" s="7">
        <f>ROUND(SUMIF('5.0'!$D:$D,T_IS!D115,'5.0'!$N:$N),0)</f>
        <v>0</v>
      </c>
      <c r="R115" s="7">
        <f>ROUND(SUMIF('6.0'!$D:$D,T_IS!D115,'6.0'!$N:$N),0)</f>
        <v>0</v>
      </c>
      <c r="S115" s="7">
        <f>-ROUND(SUMIF('7.0'!$D:$D,T_IS!D115,'7.0'!$I:$I),0)</f>
        <v>0</v>
      </c>
      <c r="T115" s="7">
        <f>-ROUND(SUMIF('8.0'!$D:$D,T_IS!F115,'8.0'!$H:$H),0)</f>
        <v>0</v>
      </c>
      <c r="U115" s="347">
        <f>SUM(M115:T115)</f>
        <v>0</v>
      </c>
      <c r="W115" s="39">
        <f>U115+K115</f>
        <v>0</v>
      </c>
      <c r="Y115" s="7"/>
      <c r="Z115" s="39">
        <v>0</v>
      </c>
      <c r="AA115" s="7">
        <f t="shared" si="14"/>
        <v>0</v>
      </c>
      <c r="AB115" s="7"/>
      <c r="AC115" s="7">
        <v>0</v>
      </c>
      <c r="AD115" s="7">
        <v>0</v>
      </c>
      <c r="AE115" s="7">
        <v>0</v>
      </c>
      <c r="AF115" s="7">
        <v>0</v>
      </c>
      <c r="AG115" s="7">
        <v>0</v>
      </c>
    </row>
    <row r="116" spans="1:33" ht="18" customHeight="1">
      <c r="A116" s="7"/>
      <c r="D116" s="14" t="s">
        <v>375</v>
      </c>
      <c r="E116" s="6" t="s">
        <v>1902</v>
      </c>
      <c r="G116" s="6" t="s">
        <v>376</v>
      </c>
      <c r="H116" s="5">
        <v>0</v>
      </c>
      <c r="I116" s="7">
        <v>0</v>
      </c>
      <c r="J116" s="7">
        <v>0</v>
      </c>
      <c r="K116" s="15">
        <f>SUM(H116:J116)</f>
        <v>0</v>
      </c>
      <c r="M116" s="345">
        <f>-ROUND(SUMIF('1.0'!$D:$D,T_IS!D116,'1.0'!$N:$N),0)</f>
        <v>0</v>
      </c>
      <c r="N116" s="7">
        <f>-ROUND(SUMIF('2.0'!$D:$D,T_IS!D116,'2.0'!$N:$N),0)</f>
        <v>0</v>
      </c>
      <c r="O116" s="7">
        <f>-ROUND(SUMIF('3.0'!$D:$D,T_IS!D116,'3.0'!$H:$H),0)</f>
        <v>0</v>
      </c>
      <c r="P116" s="7">
        <f>-ROUND(SUMIF('4.0'!$D:$D,T_IS!D116,'4.0'!$N:$N),0)</f>
        <v>0</v>
      </c>
      <c r="Q116" s="7">
        <f>ROUND(SUMIF('5.0'!$D:$D,T_IS!D116,'5.0'!$N:$N),0)</f>
        <v>0</v>
      </c>
      <c r="R116" s="7">
        <f>ROUND(SUMIF('6.0'!$D:$D,T_IS!D116,'6.0'!$N:$N),0)</f>
        <v>0</v>
      </c>
      <c r="S116" s="7">
        <f>-ROUND(SUMIF('7.0'!$D:$D,T_IS!D116,'7.0'!$I:$I),0)</f>
        <v>0</v>
      </c>
      <c r="T116" s="7">
        <f>-ROUND(SUMIF('8.0'!$D:$D,T_IS!F116,'8.0'!$H:$H),0)</f>
        <v>0</v>
      </c>
      <c r="U116" s="347">
        <f>SUM(M116:T116)</f>
        <v>0</v>
      </c>
      <c r="W116" s="39">
        <f>U116+K116</f>
        <v>0</v>
      </c>
      <c r="Y116" s="7"/>
      <c r="Z116" s="39">
        <v>0</v>
      </c>
      <c r="AA116" s="7">
        <f t="shared" si="14"/>
        <v>0</v>
      </c>
      <c r="AB116" s="7"/>
      <c r="AC116" s="7">
        <v>0</v>
      </c>
      <c r="AD116" s="7">
        <v>0</v>
      </c>
      <c r="AE116" s="7">
        <v>0</v>
      </c>
      <c r="AF116" s="7">
        <v>0</v>
      </c>
      <c r="AG116" s="7">
        <v>0</v>
      </c>
    </row>
    <row r="117" spans="1:33" ht="18" customHeight="1">
      <c r="A117" s="7"/>
      <c r="D117" s="13"/>
      <c r="E117" s="34"/>
      <c r="F117" s="291"/>
      <c r="G117" s="34" t="s">
        <v>377</v>
      </c>
      <c r="H117" s="484">
        <f>SUM(H118:H119)</f>
        <v>2042283617</v>
      </c>
      <c r="I117" s="417">
        <f>SUM(I118:I119)</f>
        <v>0</v>
      </c>
      <c r="J117" s="417">
        <f>SUM(J118:J119)</f>
        <v>0</v>
      </c>
      <c r="K117" s="645">
        <f>SUM(K118:K119)</f>
        <v>2042283617</v>
      </c>
      <c r="M117" s="659">
        <f>SUM(M118:M119)</f>
        <v>-2042283617</v>
      </c>
      <c r="N117" s="417">
        <f>SUM(N118:N119)</f>
        <v>0</v>
      </c>
      <c r="O117" s="417">
        <f t="shared" ref="O117:T117" si="30">SUM(O118:O118)</f>
        <v>0</v>
      </c>
      <c r="P117" s="417">
        <f t="shared" si="30"/>
        <v>0</v>
      </c>
      <c r="Q117" s="417">
        <f t="shared" si="30"/>
        <v>0</v>
      </c>
      <c r="R117" s="417">
        <f t="shared" si="30"/>
        <v>0</v>
      </c>
      <c r="S117" s="417">
        <f t="shared" si="30"/>
        <v>0</v>
      </c>
      <c r="T117" s="417">
        <f t="shared" si="30"/>
        <v>0</v>
      </c>
      <c r="U117" s="660">
        <f>SUM(U118:U119)</f>
        <v>-2042283617</v>
      </c>
      <c r="W117" s="36">
        <f>SUM(W118:W119)</f>
        <v>0</v>
      </c>
      <c r="Y117" s="7"/>
      <c r="Z117" s="36">
        <v>0</v>
      </c>
      <c r="AA117" s="7">
        <f t="shared" si="14"/>
        <v>0</v>
      </c>
      <c r="AB117" s="7"/>
      <c r="AC117" s="7">
        <v>0</v>
      </c>
      <c r="AD117" s="7">
        <v>0</v>
      </c>
      <c r="AE117" s="7">
        <v>0</v>
      </c>
      <c r="AF117" s="7">
        <v>0</v>
      </c>
      <c r="AG117" s="7">
        <v>0</v>
      </c>
    </row>
    <row r="118" spans="1:33" ht="18" customHeight="1">
      <c r="A118" s="7"/>
      <c r="D118" s="14" t="s">
        <v>378</v>
      </c>
      <c r="E118" s="6" t="s">
        <v>1902</v>
      </c>
      <c r="G118" s="6" t="s">
        <v>377</v>
      </c>
      <c r="H118" s="5">
        <v>2042283617</v>
      </c>
      <c r="I118" s="7">
        <v>0</v>
      </c>
      <c r="J118" s="7">
        <v>0</v>
      </c>
      <c r="K118" s="15">
        <f>SUM(H118:J118)</f>
        <v>2042283617</v>
      </c>
      <c r="M118" s="345">
        <f>ROUND(SUMIF('1.0'!$D:$D,T_IS!D118,'1.0'!$N:$N),0)</f>
        <v>-2042283617</v>
      </c>
      <c r="N118" s="7">
        <f>ROUND(SUMIF('2.0'!$D:$D,T_IS!D118,'2.0'!$N:$N),0)</f>
        <v>0</v>
      </c>
      <c r="O118" s="7">
        <f>ROUND(SUMIF('3.0'!$D:$D,T_IS!D118,'3.0'!$H:$H),0)</f>
        <v>0</v>
      </c>
      <c r="P118" s="7">
        <f>ROUND(SUMIF('4.0'!$D:$D,T_IS!D118,'4.0'!$N:$N),0)</f>
        <v>0</v>
      </c>
      <c r="Q118" s="7">
        <f>ROUND(SUMIF('5.0'!$D:$D,T_IS!D118,'5.0'!$N:$N),0)</f>
        <v>0</v>
      </c>
      <c r="R118" s="7">
        <f>ROUND(SUMIF('6.0'!$D:$D,T_IS!D118,'6.0'!$N:$N),0)</f>
        <v>0</v>
      </c>
      <c r="S118" s="7">
        <f>ROUND(SUMIF('7.0'!$D:$D,T_IS!D118,'7.0'!$I:$I),0)</f>
        <v>0</v>
      </c>
      <c r="T118" s="7">
        <f>ROUND(SUMIF('8.0'!$D:$D,T_IS!F118,'8.0'!$H:$H),0)</f>
        <v>0</v>
      </c>
      <c r="U118" s="347">
        <f>SUM(M118:T118)</f>
        <v>-2042283617</v>
      </c>
      <c r="W118" s="39">
        <f>U118+K118</f>
        <v>0</v>
      </c>
      <c r="Y118" s="7"/>
      <c r="Z118" s="39">
        <v>0</v>
      </c>
      <c r="AA118" s="7">
        <f t="shared" si="14"/>
        <v>0</v>
      </c>
      <c r="AB118" s="7"/>
      <c r="AC118" s="7">
        <v>0</v>
      </c>
      <c r="AD118" s="7">
        <v>0</v>
      </c>
      <c r="AE118" s="7">
        <v>0</v>
      </c>
      <c r="AF118" s="7">
        <v>0</v>
      </c>
      <c r="AG118" s="7">
        <v>0</v>
      </c>
    </row>
    <row r="119" spans="1:33" ht="18" customHeight="1">
      <c r="A119" s="7"/>
      <c r="D119" s="14">
        <v>714000</v>
      </c>
      <c r="E119" s="6" t="s">
        <v>1902</v>
      </c>
      <c r="G119" s="6" t="s">
        <v>1806</v>
      </c>
      <c r="H119" s="5">
        <v>0</v>
      </c>
      <c r="I119" s="7">
        <v>0</v>
      </c>
      <c r="J119" s="7">
        <v>0</v>
      </c>
      <c r="K119" s="15">
        <f>SUM(H119:J119)</f>
        <v>0</v>
      </c>
      <c r="M119" s="345">
        <f>ROUND(SUMIF('1.0'!$D:$D,T_IS!D119,'1.0'!$N:$N),0)</f>
        <v>0</v>
      </c>
      <c r="N119" s="7">
        <f>ROUND(SUMIF('2.0'!$D:$D,T_IS!D119,'2.0'!$N:$N),0)</f>
        <v>0</v>
      </c>
      <c r="O119" s="7">
        <f>ROUND(SUMIF('3.0'!$D:$D,T_IS!D119,'3.0'!$H:$H),0)</f>
        <v>0</v>
      </c>
      <c r="P119" s="7">
        <f>ROUND(SUMIF('4.0'!$D:$D,T_IS!D119,'4.0'!$N:$N),0)</f>
        <v>0</v>
      </c>
      <c r="Q119" s="7">
        <f>ROUND(SUMIF('5.0'!$D:$D,T_IS!D119,'5.0'!$N:$N),0)</f>
        <v>0</v>
      </c>
      <c r="R119" s="7">
        <f>ROUND(SUMIF('6.0'!$D:$D,T_IS!D119,'6.0'!$N:$N),0)</f>
        <v>0</v>
      </c>
      <c r="S119" s="7">
        <f>ROUND(SUMIF('7.0'!$D:$D,T_IS!D119,'7.0'!$I:$I),0)</f>
        <v>0</v>
      </c>
      <c r="T119" s="7">
        <f>ROUND(SUMIF('8.0'!$D:$D,T_IS!F119,'8.0'!$H:$H),0)</f>
        <v>0</v>
      </c>
      <c r="U119" s="347">
        <f>SUM(M119:T119)</f>
        <v>0</v>
      </c>
      <c r="W119" s="39">
        <f>U119+K119</f>
        <v>0</v>
      </c>
      <c r="Y119" s="7"/>
      <c r="Z119" s="39">
        <v>0</v>
      </c>
      <c r="AA119" s="7">
        <f t="shared" si="14"/>
        <v>0</v>
      </c>
      <c r="AB119" s="7"/>
      <c r="AC119" s="7">
        <v>0</v>
      </c>
      <c r="AD119" s="7">
        <v>0</v>
      </c>
      <c r="AE119" s="7">
        <v>0</v>
      </c>
      <c r="AF119" s="7">
        <v>0</v>
      </c>
      <c r="AG119" s="7">
        <v>0</v>
      </c>
    </row>
    <row r="120" spans="1:33" ht="18" customHeight="1">
      <c r="A120" s="7"/>
      <c r="D120" s="12"/>
      <c r="E120" s="31"/>
      <c r="F120" s="286"/>
      <c r="G120" s="31" t="s">
        <v>379</v>
      </c>
      <c r="H120" s="479">
        <f>H75+H76-H86+H98-H103+H113+H119-H118</f>
        <v>-18548422530</v>
      </c>
      <c r="I120" s="446">
        <f>I75+I76-I86+I98-I103+I113+I119-I118</f>
        <v>-1991551811</v>
      </c>
      <c r="J120" s="446">
        <f>J75+J76-J86+J98-J103+J113+J119-J118</f>
        <v>-993377417</v>
      </c>
      <c r="K120" s="461">
        <f>K75+K76-K86+K98-K103+K113+K119-K118</f>
        <v>-21533351758</v>
      </c>
      <c r="M120" s="656">
        <f t="shared" ref="M120:U120" si="31">M75+M76-M86+M98-M103+M113-M117</f>
        <v>2042283617</v>
      </c>
      <c r="N120" s="446">
        <f t="shared" si="31"/>
        <v>0</v>
      </c>
      <c r="O120" s="446">
        <f t="shared" si="31"/>
        <v>0</v>
      </c>
      <c r="P120" s="446">
        <f t="shared" si="31"/>
        <v>-28546061</v>
      </c>
      <c r="Q120" s="446">
        <f t="shared" si="31"/>
        <v>-5528581294</v>
      </c>
      <c r="R120" s="446">
        <f t="shared" si="31"/>
        <v>0</v>
      </c>
      <c r="S120" s="446">
        <f t="shared" si="31"/>
        <v>0</v>
      </c>
      <c r="T120" s="446">
        <f t="shared" si="31"/>
        <v>0</v>
      </c>
      <c r="U120" s="657">
        <f t="shared" si="31"/>
        <v>-3514843738</v>
      </c>
      <c r="W120" s="33">
        <f>W75+W76-W86+W98-W103+W113-W117</f>
        <v>-25048195496</v>
      </c>
      <c r="Y120" s="7">
        <v>-9235216767</v>
      </c>
      <c r="Z120" s="33">
        <v>-24312860307</v>
      </c>
      <c r="AA120" s="7">
        <f t="shared" si="14"/>
        <v>-735335189</v>
      </c>
      <c r="AB120" s="7"/>
      <c r="AC120" s="7">
        <v>-303274493</v>
      </c>
      <c r="AD120" s="7">
        <v>0</v>
      </c>
      <c r="AE120" s="7">
        <v>-13545696</v>
      </c>
      <c r="AF120" s="7">
        <v>113485000</v>
      </c>
      <c r="AG120" s="7">
        <v>-203335189</v>
      </c>
    </row>
    <row r="121" spans="1:33" ht="18" customHeight="1">
      <c r="A121" s="7"/>
      <c r="D121" s="13"/>
      <c r="E121" s="34"/>
      <c r="F121" s="291"/>
      <c r="G121" s="34" t="s">
        <v>380</v>
      </c>
      <c r="H121" s="484">
        <f>H122</f>
        <v>0</v>
      </c>
      <c r="I121" s="417">
        <f>I122</f>
        <v>0</v>
      </c>
      <c r="J121" s="417">
        <f>J122</f>
        <v>-55823716</v>
      </c>
      <c r="K121" s="645">
        <f>K122</f>
        <v>-55823716</v>
      </c>
      <c r="M121" s="659">
        <f t="shared" ref="M121:U121" si="32">M122</f>
        <v>0</v>
      </c>
      <c r="N121" s="417">
        <f t="shared" si="32"/>
        <v>0</v>
      </c>
      <c r="O121" s="417">
        <f t="shared" si="32"/>
        <v>0</v>
      </c>
      <c r="P121" s="417">
        <f t="shared" si="32"/>
        <v>0</v>
      </c>
      <c r="Q121" s="417">
        <f t="shared" si="32"/>
        <v>-1924499179</v>
      </c>
      <c r="R121" s="417">
        <f t="shared" si="32"/>
        <v>0</v>
      </c>
      <c r="S121" s="417">
        <f t="shared" si="32"/>
        <v>0</v>
      </c>
      <c r="T121" s="417">
        <f t="shared" si="32"/>
        <v>0</v>
      </c>
      <c r="U121" s="660">
        <f t="shared" si="32"/>
        <v>-1924499179</v>
      </c>
      <c r="W121" s="36">
        <f>W122</f>
        <v>-1980322895</v>
      </c>
      <c r="Y121" s="7"/>
      <c r="Z121" s="36">
        <v>-1924499179</v>
      </c>
      <c r="AA121" s="7">
        <f t="shared" si="14"/>
        <v>-55823716</v>
      </c>
      <c r="AB121" s="7"/>
      <c r="AC121" s="7">
        <v>0</v>
      </c>
      <c r="AD121" s="7">
        <v>0</v>
      </c>
      <c r="AE121" s="7">
        <v>-55823716</v>
      </c>
      <c r="AF121" s="7">
        <v>0</v>
      </c>
      <c r="AG121" s="7">
        <v>-55823716</v>
      </c>
    </row>
    <row r="122" spans="1:33" ht="18" customHeight="1">
      <c r="A122" s="7"/>
      <c r="D122" s="14" t="s">
        <v>381</v>
      </c>
      <c r="E122" s="6" t="s">
        <v>380</v>
      </c>
      <c r="F122" s="40">
        <v>801</v>
      </c>
      <c r="G122" s="6" t="s">
        <v>380</v>
      </c>
      <c r="H122" s="5">
        <v>0</v>
      </c>
      <c r="I122" s="7">
        <v>0</v>
      </c>
      <c r="J122" s="7">
        <v>-55823716</v>
      </c>
      <c r="K122" s="15">
        <f>SUM(H122:J122)</f>
        <v>-55823716</v>
      </c>
      <c r="M122" s="345">
        <f>ROUND(SUMIF('1.0'!$D:$D,T_IS!D122,'1.0'!$N:$N),0)</f>
        <v>0</v>
      </c>
      <c r="N122" s="7">
        <f>ROUND(SUMIF('2.0'!$D:$D,T_IS!D122,'2.0'!$N:$N),0)</f>
        <v>0</v>
      </c>
      <c r="O122" s="7">
        <f>ROUND(SUMIF('3.0'!$D:$D,T_IS!D122,'3.0'!$H:$H),0)</f>
        <v>0</v>
      </c>
      <c r="P122" s="7">
        <f>ROUND(SUMIF('4.0'!$D:$D,T_IS!D122,'4.0'!$N:$N),0)</f>
        <v>0</v>
      </c>
      <c r="Q122" s="7">
        <f>ROUND(SUMIF('5.0'!$D:$D,T_IS!D122,'5.0'!$N:$N),0)</f>
        <v>-1924499179</v>
      </c>
      <c r="R122" s="7">
        <f>ROUND(SUMIF('6.0'!$D:$D,T_IS!D122,'6.0'!$N:$N),0)</f>
        <v>0</v>
      </c>
      <c r="S122" s="7">
        <f>ROUND(SUMIF('7.0'!$D:$D,T_IS!D122,'7.0'!$I:$I),0)</f>
        <v>0</v>
      </c>
      <c r="T122" s="7">
        <f>ROUND(SUMIF('8.0'!$D:$D,T_IS!F122,'8.0'!$H:$H),0)</f>
        <v>0</v>
      </c>
      <c r="U122" s="347">
        <f>SUM(M122:T122)</f>
        <v>-1924499179</v>
      </c>
      <c r="W122" s="39">
        <f>U122+K122</f>
        <v>-1980322895</v>
      </c>
      <c r="Y122" s="7"/>
      <c r="Z122" s="39">
        <v>-1924499179</v>
      </c>
      <c r="AA122" s="7">
        <f t="shared" si="14"/>
        <v>-55823716</v>
      </c>
      <c r="AB122" s="7"/>
      <c r="AC122" s="7">
        <v>0</v>
      </c>
      <c r="AD122" s="7">
        <v>0</v>
      </c>
      <c r="AE122" s="7">
        <v>-55823716</v>
      </c>
      <c r="AF122" s="7">
        <v>0</v>
      </c>
      <c r="AG122" s="7">
        <v>-55823716</v>
      </c>
    </row>
    <row r="123" spans="1:33" ht="18" customHeight="1">
      <c r="A123" s="7"/>
      <c r="D123" s="12"/>
      <c r="E123" s="31"/>
      <c r="F123" s="286"/>
      <c r="G123" s="31" t="s">
        <v>382</v>
      </c>
      <c r="H123" s="446">
        <f>H120-H121</f>
        <v>-18548422530</v>
      </c>
      <c r="I123" s="446">
        <f>I120-I121</f>
        <v>-1991551811</v>
      </c>
      <c r="J123" s="446">
        <f>J120-J121</f>
        <v>-937553701</v>
      </c>
      <c r="K123" s="461">
        <f>K120-K121</f>
        <v>-21477528042</v>
      </c>
      <c r="M123" s="656">
        <f t="shared" ref="M123:U123" si="33">M120-M121</f>
        <v>2042283617</v>
      </c>
      <c r="N123" s="446">
        <f t="shared" si="33"/>
        <v>0</v>
      </c>
      <c r="O123" s="446">
        <f t="shared" si="33"/>
        <v>0</v>
      </c>
      <c r="P123" s="446">
        <f t="shared" si="33"/>
        <v>-28546061</v>
      </c>
      <c r="Q123" s="446">
        <f t="shared" si="33"/>
        <v>-3604082115</v>
      </c>
      <c r="R123" s="446">
        <f t="shared" si="33"/>
        <v>0</v>
      </c>
      <c r="S123" s="446">
        <f t="shared" si="33"/>
        <v>0</v>
      </c>
      <c r="T123" s="446">
        <f t="shared" si="33"/>
        <v>0</v>
      </c>
      <c r="U123" s="657">
        <f t="shared" si="33"/>
        <v>-1590344559</v>
      </c>
      <c r="W123" s="33">
        <f>W120-W121</f>
        <v>-23067872601</v>
      </c>
      <c r="Y123" s="7">
        <v>-9044916322</v>
      </c>
      <c r="Z123" s="33">
        <v>-22388361128</v>
      </c>
      <c r="AA123" s="7">
        <f t="shared" si="14"/>
        <v>-679511473</v>
      </c>
      <c r="AB123" s="7"/>
      <c r="AC123" s="7">
        <v>-303274493</v>
      </c>
      <c r="AD123" s="7">
        <v>0</v>
      </c>
      <c r="AE123" s="7">
        <v>42278020</v>
      </c>
      <c r="AF123" s="7">
        <v>113485000</v>
      </c>
      <c r="AG123" s="7">
        <v>-147511473</v>
      </c>
    </row>
    <row r="124" spans="1:33" ht="18" customHeight="1">
      <c r="A124" s="7"/>
      <c r="D124" s="14" t="s">
        <v>383</v>
      </c>
      <c r="E124" s="6" t="s">
        <v>11</v>
      </c>
      <c r="G124" s="6" t="s">
        <v>11</v>
      </c>
      <c r="H124" s="5">
        <f>H123</f>
        <v>-18548422530</v>
      </c>
      <c r="I124" s="5">
        <f>I123</f>
        <v>-1991551811</v>
      </c>
      <c r="J124" s="7">
        <f>J123</f>
        <v>-937553701</v>
      </c>
      <c r="K124" s="15">
        <f>SUM(H124:J124)</f>
        <v>-21477528042</v>
      </c>
      <c r="M124" s="345">
        <f t="shared" ref="M124:T124" si="34">M123</f>
        <v>2042283617</v>
      </c>
      <c r="N124" s="7">
        <f t="shared" si="34"/>
        <v>0</v>
      </c>
      <c r="O124" s="7">
        <f t="shared" si="34"/>
        <v>0</v>
      </c>
      <c r="P124" s="7">
        <f t="shared" si="34"/>
        <v>-28546061</v>
      </c>
      <c r="Q124" s="7">
        <f t="shared" si="34"/>
        <v>-3604082115</v>
      </c>
      <c r="R124" s="7">
        <f t="shared" si="34"/>
        <v>0</v>
      </c>
      <c r="S124" s="7">
        <f t="shared" si="34"/>
        <v>0</v>
      </c>
      <c r="T124" s="7">
        <f t="shared" si="34"/>
        <v>0</v>
      </c>
      <c r="U124" s="347">
        <f>SUM(M124:T124)</f>
        <v>-1590344559</v>
      </c>
      <c r="W124" s="39">
        <f>U124+K124</f>
        <v>-23067872601</v>
      </c>
      <c r="Y124" s="7"/>
      <c r="Z124" s="39">
        <v>-22388361128</v>
      </c>
      <c r="AA124" s="7">
        <f t="shared" si="14"/>
        <v>-679511473</v>
      </c>
      <c r="AB124" s="7"/>
      <c r="AC124" s="7">
        <v>-303274493</v>
      </c>
      <c r="AD124" s="7">
        <v>0</v>
      </c>
      <c r="AE124" s="7">
        <v>42278020</v>
      </c>
      <c r="AF124" s="7">
        <v>113485000</v>
      </c>
      <c r="AG124" s="7">
        <v>-147511473</v>
      </c>
    </row>
    <row r="125" spans="1:33" ht="18" customHeight="1" thickBot="1">
      <c r="A125" s="7"/>
      <c r="D125" s="661" t="s">
        <v>384</v>
      </c>
      <c r="E125" s="18" t="s">
        <v>210</v>
      </c>
      <c r="F125" s="648"/>
      <c r="G125" s="18" t="s">
        <v>210</v>
      </c>
      <c r="H125" s="16">
        <v>0</v>
      </c>
      <c r="I125" s="16">
        <v>0</v>
      </c>
      <c r="J125" s="370">
        <v>0</v>
      </c>
      <c r="K125" s="17">
        <f>SUM(H125:J125)</f>
        <v>0</v>
      </c>
      <c r="M125" s="558">
        <f t="shared" ref="M125:T125" si="35">M123-M124</f>
        <v>0</v>
      </c>
      <c r="N125" s="370">
        <f t="shared" si="35"/>
        <v>0</v>
      </c>
      <c r="O125" s="370">
        <f t="shared" si="35"/>
        <v>0</v>
      </c>
      <c r="P125" s="370">
        <f t="shared" si="35"/>
        <v>0</v>
      </c>
      <c r="Q125" s="370">
        <f t="shared" si="35"/>
        <v>0</v>
      </c>
      <c r="R125" s="370">
        <f t="shared" si="35"/>
        <v>0</v>
      </c>
      <c r="S125" s="370">
        <f t="shared" si="35"/>
        <v>0</v>
      </c>
      <c r="T125" s="370">
        <f t="shared" si="35"/>
        <v>0</v>
      </c>
      <c r="U125" s="371">
        <f>SUM(M125:T125)</f>
        <v>0</v>
      </c>
      <c r="W125" s="662">
        <f>W123-W124</f>
        <v>0</v>
      </c>
      <c r="Y125" s="7"/>
      <c r="Z125" s="662">
        <v>0</v>
      </c>
      <c r="AA125" s="7"/>
      <c r="AB125" s="7"/>
    </row>
    <row r="126" spans="1:33" s="276" customFormat="1" ht="18" customHeight="1">
      <c r="F126" s="46"/>
      <c r="H126" s="186" t="b">
        <f>H123-T_BS!H240=0</f>
        <v>1</v>
      </c>
      <c r="I126" s="276" t="b">
        <f>I123=T_BS!I240</f>
        <v>1</v>
      </c>
      <c r="J126" s="186" t="b">
        <f>J123=T_BS!J240</f>
        <v>1</v>
      </c>
      <c r="K126" s="186"/>
      <c r="M126" s="186">
        <f>M124-T_BS!M240</f>
        <v>0</v>
      </c>
      <c r="N126" s="186"/>
      <c r="O126" s="186">
        <f>O124-T_BS!O240</f>
        <v>0</v>
      </c>
      <c r="P126" s="186">
        <f>P124-T_BS!P240</f>
        <v>0</v>
      </c>
      <c r="Q126" s="186">
        <f>Q124-T_BS!Q240</f>
        <v>0</v>
      </c>
      <c r="R126" s="186">
        <f>R124-T_BS!R240</f>
        <v>0</v>
      </c>
      <c r="S126" s="186">
        <f>S124-T_BS!S240</f>
        <v>0</v>
      </c>
      <c r="T126" s="186"/>
      <c r="U126" s="186"/>
      <c r="W126" s="186"/>
    </row>
    <row r="127" spans="1:33" ht="18" customHeight="1">
      <c r="K127" s="663"/>
      <c r="M127" s="7"/>
      <c r="N127" s="7"/>
      <c r="Q127" s="346"/>
      <c r="U127" s="7"/>
      <c r="W127" s="7"/>
    </row>
    <row r="128" spans="1:33" ht="18" customHeight="1">
      <c r="H128" s="7"/>
      <c r="K128" s="7"/>
      <c r="W128" s="7"/>
    </row>
    <row r="130" spans="8:11" ht="18" customHeight="1">
      <c r="H130" s="664"/>
    </row>
    <row r="131" spans="8:11" ht="18" customHeight="1">
      <c r="H131" s="7"/>
      <c r="K131" s="7"/>
    </row>
    <row r="132" spans="8:11" ht="18" customHeight="1">
      <c r="K132" s="7"/>
    </row>
  </sheetData>
  <autoFilter ref="A5:X125" xr:uid="{00000000-0009-0000-0000-000004000000}"/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79998168889431442"/>
  </sheetPr>
  <dimension ref="D2:N38"/>
  <sheetViews>
    <sheetView showGridLines="0" zoomScale="80" zoomScaleNormal="80" workbookViewId="0">
      <pane xSplit="7" ySplit="5" topLeftCell="I6" activePane="bottomRight" state="frozen"/>
      <selection activeCell="AA236" sqref="AA236"/>
      <selection pane="topRight" activeCell="AA236" sqref="AA236"/>
      <selection pane="bottomLeft" activeCell="AA236" sqref="AA236"/>
      <selection pane="bottomRight" activeCell="L29" sqref="L29"/>
    </sheetView>
  </sheetViews>
  <sheetFormatPr defaultColWidth="8.75" defaultRowHeight="18" customHeight="1"/>
  <cols>
    <col min="1" max="3" width="2.375" style="6" customWidth="1"/>
    <col min="4" max="7" width="20.375" style="6" customWidth="1"/>
    <col min="8" max="8" width="20.375" style="6" hidden="1" customWidth="1"/>
    <col min="9" max="24" width="20.375" style="6" customWidth="1"/>
    <col min="25" max="16384" width="8.75" style="6"/>
  </cols>
  <sheetData>
    <row r="2" spans="4:14" ht="18" customHeight="1">
      <c r="H2" s="7"/>
      <c r="I2" s="7"/>
      <c r="J2" s="7"/>
    </row>
    <row r="4" spans="4:14" ht="18" customHeight="1" thickBot="1">
      <c r="H4" s="566"/>
      <c r="I4" s="566" t="b">
        <f>'BS(공)'!J37=I6</f>
        <v>1</v>
      </c>
      <c r="J4" s="566" t="b">
        <f>J6=T_BS!W219</f>
        <v>1</v>
      </c>
    </row>
    <row r="5" spans="4:14" ht="18" customHeight="1">
      <c r="D5" s="9" t="s">
        <v>16</v>
      </c>
      <c r="E5" s="10" t="s">
        <v>17</v>
      </c>
      <c r="F5" s="10" t="s">
        <v>18</v>
      </c>
      <c r="G5" s="10" t="s">
        <v>19</v>
      </c>
      <c r="H5" s="10" t="s">
        <v>1671</v>
      </c>
      <c r="I5" s="10" t="s">
        <v>1981</v>
      </c>
      <c r="J5" s="10" t="str">
        <f>T_BS!W4</f>
        <v>2020.12.31</v>
      </c>
      <c r="K5" s="10" t="s">
        <v>1686</v>
      </c>
      <c r="L5" s="10" t="s">
        <v>1503</v>
      </c>
      <c r="M5" s="10" t="s">
        <v>1504</v>
      </c>
      <c r="N5" s="642" t="s">
        <v>1690</v>
      </c>
    </row>
    <row r="6" spans="4:14" ht="18" customHeight="1">
      <c r="D6" s="11"/>
      <c r="E6" s="28"/>
      <c r="F6" s="29"/>
      <c r="G6" s="28" t="s">
        <v>14</v>
      </c>
      <c r="H6" s="643">
        <f>SUM(H7,H28)</f>
        <v>159858811329</v>
      </c>
      <c r="I6" s="643">
        <f>SUM(I7,I28)</f>
        <v>117917039839</v>
      </c>
      <c r="J6" s="643">
        <f>SUM(J7,J28)</f>
        <v>95801398968</v>
      </c>
      <c r="K6" s="643">
        <f>SUM(K7,K28)</f>
        <v>-22115640871</v>
      </c>
      <c r="L6" s="643"/>
      <c r="M6" s="643"/>
      <c r="N6" s="644"/>
    </row>
    <row r="7" spans="4:14" ht="18" customHeight="1">
      <c r="D7" s="12"/>
      <c r="E7" s="31"/>
      <c r="F7" s="32"/>
      <c r="G7" s="31" t="s">
        <v>11</v>
      </c>
      <c r="H7" s="446">
        <f>SUM(H8,H10,H14,H24)</f>
        <v>159858811329</v>
      </c>
      <c r="I7" s="446">
        <f>SUM(I8,I10,I14,I24)</f>
        <v>117917039839</v>
      </c>
      <c r="J7" s="446">
        <f>SUM(J8,J10,J14,J24)</f>
        <v>95801398968</v>
      </c>
      <c r="K7" s="446">
        <f>SUM(K8,K10,K14,K24)</f>
        <v>-22115640871</v>
      </c>
      <c r="L7" s="446"/>
      <c r="M7" s="446"/>
      <c r="N7" s="461"/>
    </row>
    <row r="8" spans="4:14" ht="18" customHeight="1">
      <c r="D8" s="13"/>
      <c r="E8" s="34"/>
      <c r="F8" s="35"/>
      <c r="G8" s="34" t="s">
        <v>10</v>
      </c>
      <c r="H8" s="417">
        <f>H9</f>
        <v>27779139500</v>
      </c>
      <c r="I8" s="417">
        <f>I9</f>
        <v>28429923500</v>
      </c>
      <c r="J8" s="417">
        <f>J9</f>
        <v>28429923500</v>
      </c>
      <c r="K8" s="417">
        <f>K9</f>
        <v>0</v>
      </c>
      <c r="L8" s="417"/>
      <c r="M8" s="417"/>
      <c r="N8" s="645"/>
    </row>
    <row r="9" spans="4:14" ht="18" customHeight="1">
      <c r="D9" s="14">
        <v>310100</v>
      </c>
      <c r="F9" s="40">
        <v>5101</v>
      </c>
      <c r="G9" s="6" t="s">
        <v>190</v>
      </c>
      <c r="H9" s="7">
        <v>27779139500</v>
      </c>
      <c r="I9" s="5">
        <v>28429923500</v>
      </c>
      <c r="J9" s="7">
        <f>SUMIF(T_BS!$D:$D,T_CE!D9,T_BS!$W:$W)</f>
        <v>28429923500</v>
      </c>
      <c r="K9" s="7">
        <f>J9-I9</f>
        <v>0</v>
      </c>
      <c r="L9" s="7"/>
      <c r="M9" s="7"/>
      <c r="N9" s="15">
        <f>K9-M9</f>
        <v>0</v>
      </c>
    </row>
    <row r="10" spans="4:14" ht="18" customHeight="1">
      <c r="D10" s="13"/>
      <c r="E10" s="34"/>
      <c r="F10" s="35"/>
      <c r="G10" s="34" t="s">
        <v>12</v>
      </c>
      <c r="H10" s="417">
        <f>SUM(H11:H13)</f>
        <v>173855395328</v>
      </c>
      <c r="I10" s="417">
        <f>SUM(I11:I13)</f>
        <v>178559577856</v>
      </c>
      <c r="J10" s="417">
        <f>SUM(J11:J13)</f>
        <v>178559577856</v>
      </c>
      <c r="K10" s="417">
        <f>SUM(K11:K13)</f>
        <v>0</v>
      </c>
      <c r="L10" s="417"/>
      <c r="M10" s="417"/>
      <c r="N10" s="645"/>
    </row>
    <row r="11" spans="4:14" ht="18" customHeight="1">
      <c r="D11" s="14">
        <v>320100</v>
      </c>
      <c r="F11" s="40">
        <v>5201</v>
      </c>
      <c r="G11" s="6" t="s">
        <v>191</v>
      </c>
      <c r="H11" s="7">
        <v>172351901382</v>
      </c>
      <c r="I11" s="7">
        <v>177997002186</v>
      </c>
      <c r="J11" s="7">
        <f>SUMIF(T_BS!$D:$D,T_CE!D11,T_BS!$W:$W)</f>
        <v>177997002186</v>
      </c>
      <c r="K11" s="7">
        <f t="shared" ref="K11:K27" si="0">J11-I11</f>
        <v>0</v>
      </c>
      <c r="L11" s="7"/>
      <c r="M11" s="7"/>
      <c r="N11" s="15">
        <f>K11-M11</f>
        <v>0</v>
      </c>
    </row>
    <row r="12" spans="4:14" ht="18" customHeight="1">
      <c r="D12" s="14">
        <v>320500</v>
      </c>
      <c r="F12" s="40">
        <v>5203</v>
      </c>
      <c r="G12" s="6" t="s">
        <v>192</v>
      </c>
      <c r="H12" s="7">
        <v>940918276</v>
      </c>
      <c r="I12" s="7">
        <v>0</v>
      </c>
      <c r="J12" s="7">
        <f>SUMIF(T_BS!$D:$D,T_CE!D12,T_BS!$W:$W)</f>
        <v>0</v>
      </c>
      <c r="K12" s="7">
        <f t="shared" si="0"/>
        <v>0</v>
      </c>
      <c r="L12" s="7"/>
      <c r="M12" s="7"/>
      <c r="N12" s="15">
        <f>K12-M12</f>
        <v>0</v>
      </c>
    </row>
    <row r="13" spans="4:14" ht="18" customHeight="1">
      <c r="D13" s="14">
        <v>320300</v>
      </c>
      <c r="F13" s="40">
        <v>5202</v>
      </c>
      <c r="G13" s="6" t="s">
        <v>193</v>
      </c>
      <c r="H13" s="7">
        <v>562575670</v>
      </c>
      <c r="I13" s="7">
        <v>562575670</v>
      </c>
      <c r="J13" s="7">
        <f>SUMIF(T_BS!$D:$D,T_CE!D13,T_BS!$W:$W)</f>
        <v>562575670</v>
      </c>
      <c r="K13" s="7">
        <f t="shared" si="0"/>
        <v>0</v>
      </c>
      <c r="L13" s="7"/>
      <c r="M13" s="7"/>
      <c r="N13" s="15">
        <f>K13-M13</f>
        <v>0</v>
      </c>
    </row>
    <row r="14" spans="4:14" ht="18" customHeight="1">
      <c r="D14" s="13"/>
      <c r="E14" s="34"/>
      <c r="F14" s="35"/>
      <c r="G14" s="34" t="s">
        <v>194</v>
      </c>
      <c r="H14" s="417">
        <f>SUM(H15:H23)</f>
        <v>-2776797396</v>
      </c>
      <c r="I14" s="417">
        <f>SUM(I15:I23)</f>
        <v>-1301501750</v>
      </c>
      <c r="J14" s="417">
        <f>SUM(J15:J23)</f>
        <v>-310683954</v>
      </c>
      <c r="K14" s="417">
        <f>SUM(K15:K23)</f>
        <v>990817796</v>
      </c>
      <c r="L14" s="417"/>
      <c r="M14" s="417"/>
      <c r="N14" s="645"/>
    </row>
    <row r="15" spans="4:14" ht="18" customHeight="1">
      <c r="D15" s="14">
        <v>350300</v>
      </c>
      <c r="F15" s="40">
        <v>5304</v>
      </c>
      <c r="G15" s="6" t="s">
        <v>195</v>
      </c>
      <c r="H15" s="7">
        <v>-4240000</v>
      </c>
      <c r="I15" s="7">
        <v>-4240000</v>
      </c>
      <c r="J15" s="7">
        <f>SUMIF(T_BS!$D:$D,T_CE!D15,T_BS!$W:$W)</f>
        <v>-4240000</v>
      </c>
      <c r="K15" s="7">
        <f t="shared" si="0"/>
        <v>0</v>
      </c>
      <c r="L15" s="7"/>
      <c r="M15" s="7"/>
      <c r="N15" s="15">
        <f t="shared" ref="N15:N23" si="1">K15-M15</f>
        <v>0</v>
      </c>
    </row>
    <row r="16" spans="4:14" ht="18" customHeight="1">
      <c r="D16" s="14">
        <v>350350</v>
      </c>
      <c r="F16" s="40">
        <v>5301</v>
      </c>
      <c r="G16" s="6" t="s">
        <v>196</v>
      </c>
      <c r="H16" s="7">
        <v>-1292039719</v>
      </c>
      <c r="I16" s="7">
        <v>-1292039719</v>
      </c>
      <c r="J16" s="7">
        <f>SUMIF(T_BS!$D:$D,T_CE!D16,T_BS!$W:$W)</f>
        <v>-1292039719</v>
      </c>
      <c r="K16" s="7">
        <f t="shared" si="0"/>
        <v>0</v>
      </c>
      <c r="L16" s="7"/>
      <c r="M16" s="7"/>
      <c r="N16" s="15">
        <f t="shared" si="1"/>
        <v>0</v>
      </c>
    </row>
    <row r="17" spans="4:14" ht="18" customHeight="1">
      <c r="D17" s="14" t="s">
        <v>1349</v>
      </c>
      <c r="F17" s="40" t="s">
        <v>612</v>
      </c>
      <c r="G17" s="6" t="s">
        <v>225</v>
      </c>
      <c r="H17" s="7">
        <v>0</v>
      </c>
      <c r="I17" s="7">
        <v>0</v>
      </c>
      <c r="J17" s="7">
        <f>SUMIF(T_BS!$D:$D,T_CE!D17,T_BS!$W:$W)</f>
        <v>0</v>
      </c>
      <c r="K17" s="7">
        <f t="shared" si="0"/>
        <v>0</v>
      </c>
      <c r="L17" s="7"/>
      <c r="M17" s="7"/>
      <c r="N17" s="15">
        <f t="shared" si="1"/>
        <v>0</v>
      </c>
    </row>
    <row r="18" spans="4:14" ht="18" customHeight="1">
      <c r="D18" s="14">
        <v>350400</v>
      </c>
      <c r="F18" s="40">
        <v>4664</v>
      </c>
      <c r="G18" s="6" t="s">
        <v>197</v>
      </c>
      <c r="H18" s="7">
        <v>0</v>
      </c>
      <c r="I18" s="7">
        <v>674683389</v>
      </c>
      <c r="J18" s="7">
        <f>SUMIF(T_BS!$D:$D,T_CE!D18,T_BS!$W:$W)</f>
        <v>1298943576</v>
      </c>
      <c r="K18" s="7">
        <f t="shared" si="0"/>
        <v>624260187</v>
      </c>
      <c r="L18" s="7" t="s">
        <v>1687</v>
      </c>
      <c r="M18" s="7">
        <f>T_IS!K40</f>
        <v>624260187</v>
      </c>
      <c r="N18" s="15">
        <f t="shared" si="1"/>
        <v>0</v>
      </c>
    </row>
    <row r="19" spans="4:14" ht="18" customHeight="1">
      <c r="D19" s="14">
        <v>350210</v>
      </c>
      <c r="F19" s="40">
        <v>5304</v>
      </c>
      <c r="G19" s="6" t="s">
        <v>198</v>
      </c>
      <c r="H19" s="7">
        <v>-2731869088</v>
      </c>
      <c r="I19" s="7">
        <v>-2731869088</v>
      </c>
      <c r="J19" s="7">
        <f>SUMIF(T_BS!$D:$D,T_CE!D19,T_BS!$W:$W)</f>
        <v>-2731869088</v>
      </c>
      <c r="K19" s="7">
        <f t="shared" si="0"/>
        <v>0</v>
      </c>
      <c r="L19" s="7"/>
      <c r="M19" s="7"/>
      <c r="N19" s="15">
        <f t="shared" si="1"/>
        <v>0</v>
      </c>
    </row>
    <row r="20" spans="4:14" ht="18" customHeight="1">
      <c r="D20" s="14" t="s">
        <v>1352</v>
      </c>
      <c r="F20" s="40" t="s">
        <v>612</v>
      </c>
      <c r="G20" s="6" t="s">
        <v>200</v>
      </c>
      <c r="H20" s="7">
        <v>0</v>
      </c>
      <c r="I20" s="7">
        <v>0</v>
      </c>
      <c r="J20" s="7">
        <f>SUMIF(T_BS!$D:$D,T_CE!D20,T_BS!$W:$W)</f>
        <v>0</v>
      </c>
      <c r="K20" s="7">
        <f t="shared" si="0"/>
        <v>0</v>
      </c>
      <c r="L20" s="7"/>
      <c r="M20" s="7"/>
      <c r="N20" s="15">
        <f t="shared" si="1"/>
        <v>0</v>
      </c>
    </row>
    <row r="21" spans="4:14" ht="18" customHeight="1">
      <c r="D21" s="14" t="s">
        <v>1353</v>
      </c>
      <c r="F21" s="40" t="s">
        <v>612</v>
      </c>
      <c r="G21" s="6" t="s">
        <v>202</v>
      </c>
      <c r="H21" s="7">
        <v>0</v>
      </c>
      <c r="I21" s="7">
        <v>0</v>
      </c>
      <c r="J21" s="7">
        <f>SUMIF(T_BS!$D:$D,T_CE!D21,T_BS!$W:$W)</f>
        <v>0</v>
      </c>
      <c r="K21" s="7">
        <f t="shared" si="0"/>
        <v>0</v>
      </c>
      <c r="L21" s="7"/>
      <c r="M21" s="7"/>
      <c r="N21" s="15">
        <f t="shared" si="1"/>
        <v>0</v>
      </c>
    </row>
    <row r="22" spans="4:14" ht="18" customHeight="1">
      <c r="D22" s="14" t="s">
        <v>1354</v>
      </c>
      <c r="F22" s="40">
        <v>5307</v>
      </c>
      <c r="G22" s="6" t="s">
        <v>1350</v>
      </c>
      <c r="H22" s="7">
        <v>1251351411</v>
      </c>
      <c r="I22" s="7">
        <v>2051963668</v>
      </c>
      <c r="J22" s="7">
        <f>SUMIF(T_BS!$D:$D,T_CE!D22,T_BS!$W:$W)</f>
        <v>2418521277</v>
      </c>
      <c r="K22" s="7">
        <f t="shared" si="0"/>
        <v>366557609</v>
      </c>
      <c r="L22" s="7" t="s">
        <v>1688</v>
      </c>
      <c r="M22" s="7">
        <f>K22</f>
        <v>366557609</v>
      </c>
      <c r="N22" s="15">
        <f t="shared" si="1"/>
        <v>0</v>
      </c>
    </row>
    <row r="23" spans="4:14" ht="18" customHeight="1">
      <c r="D23" s="14" t="s">
        <v>1355</v>
      </c>
      <c r="F23" s="40"/>
      <c r="G23" s="6" t="s">
        <v>1351</v>
      </c>
      <c r="H23" s="7">
        <v>0</v>
      </c>
      <c r="I23" s="7">
        <v>0</v>
      </c>
      <c r="J23" s="7">
        <f>SUMIF(T_BS!$D:$D,T_CE!D23,T_BS!$W:$W)</f>
        <v>0</v>
      </c>
      <c r="K23" s="7">
        <f t="shared" si="0"/>
        <v>0</v>
      </c>
      <c r="L23" s="7"/>
      <c r="M23" s="7"/>
      <c r="N23" s="15">
        <f t="shared" si="1"/>
        <v>0</v>
      </c>
    </row>
    <row r="24" spans="4:14" ht="18" customHeight="1">
      <c r="D24" s="13"/>
      <c r="E24" s="34"/>
      <c r="F24" s="35"/>
      <c r="G24" s="34" t="s">
        <v>13</v>
      </c>
      <c r="H24" s="417">
        <f>SUM(H25:H27)</f>
        <v>-38998926103</v>
      </c>
      <c r="I24" s="417">
        <f>SUM(I25:I27)</f>
        <v>-87770959767</v>
      </c>
      <c r="J24" s="417">
        <f>SUM(J25:J27)</f>
        <v>-110877418434</v>
      </c>
      <c r="K24" s="417">
        <f>SUM(K25:K27)</f>
        <v>-23106458667</v>
      </c>
      <c r="L24" s="417"/>
      <c r="M24" s="417"/>
      <c r="N24" s="645"/>
    </row>
    <row r="25" spans="4:14" ht="18" customHeight="1">
      <c r="D25" s="14">
        <v>350951</v>
      </c>
      <c r="F25" s="40">
        <v>5401</v>
      </c>
      <c r="G25" s="6" t="s">
        <v>205</v>
      </c>
      <c r="H25" s="7">
        <v>525952518</v>
      </c>
      <c r="I25" s="7">
        <v>-240559000</v>
      </c>
      <c r="J25" s="7">
        <f>SUMIF(T_BS!$D:$D,T_CE!D25,T_BS!$W:$W)</f>
        <v>-279145066</v>
      </c>
      <c r="K25" s="7">
        <f t="shared" si="0"/>
        <v>-38586066</v>
      </c>
      <c r="L25" s="7"/>
      <c r="M25" s="7">
        <f>K25</f>
        <v>-38586066</v>
      </c>
      <c r="N25" s="15">
        <f>K25-M25</f>
        <v>0</v>
      </c>
    </row>
    <row r="26" spans="4:14" ht="18" customHeight="1">
      <c r="D26" s="43" t="s">
        <v>1356</v>
      </c>
      <c r="F26" s="40">
        <v>5402</v>
      </c>
      <c r="G26" s="6" t="s">
        <v>207</v>
      </c>
      <c r="H26" s="7">
        <v>-39524878621</v>
      </c>
      <c r="I26" s="7">
        <v>-87530400767</v>
      </c>
      <c r="J26" s="7">
        <f>SUMIF(T_BS!$D:$D,T_CE!D26,T_BS!$W:$W)</f>
        <v>-87530400767</v>
      </c>
      <c r="K26" s="7">
        <f t="shared" si="0"/>
        <v>0</v>
      </c>
      <c r="L26" s="7"/>
      <c r="M26" s="7"/>
      <c r="N26" s="15">
        <f>K26-M26</f>
        <v>0</v>
      </c>
    </row>
    <row r="27" spans="4:14" ht="18" customHeight="1">
      <c r="D27" s="43" t="s">
        <v>1357</v>
      </c>
      <c r="F27" s="40" t="s">
        <v>612</v>
      </c>
      <c r="G27" s="6" t="s">
        <v>209</v>
      </c>
      <c r="H27" s="7">
        <v>0</v>
      </c>
      <c r="I27" s="7"/>
      <c r="J27" s="7">
        <f>SUMIF(T_BS!$D:$D,T_CE!D27,T_BS!$W:$W)</f>
        <v>-23067872601</v>
      </c>
      <c r="K27" s="7">
        <f t="shared" si="0"/>
        <v>-23067872601</v>
      </c>
      <c r="L27" s="7" t="s">
        <v>1689</v>
      </c>
      <c r="M27" s="7">
        <f>T_IS!W123</f>
        <v>-23067872601</v>
      </c>
      <c r="N27" s="15">
        <f>K27-M27</f>
        <v>0</v>
      </c>
    </row>
    <row r="28" spans="4:14" ht="18" customHeight="1">
      <c r="D28" s="12"/>
      <c r="E28" s="31"/>
      <c r="F28" s="32"/>
      <c r="G28" s="31" t="s">
        <v>210</v>
      </c>
      <c r="H28" s="446">
        <f>H29</f>
        <v>0</v>
      </c>
      <c r="I28" s="446">
        <f>I29</f>
        <v>0</v>
      </c>
      <c r="J28" s="446">
        <f>J29</f>
        <v>0</v>
      </c>
      <c r="K28" s="446">
        <f>K29</f>
        <v>0</v>
      </c>
      <c r="L28" s="446"/>
      <c r="M28" s="446"/>
      <c r="N28" s="461"/>
    </row>
    <row r="29" spans="4:14" ht="18" customHeight="1" thickBot="1">
      <c r="D29" s="646" t="s">
        <v>493</v>
      </c>
      <c r="E29" s="647"/>
      <c r="F29" s="648"/>
      <c r="G29" s="647" t="s">
        <v>210</v>
      </c>
      <c r="H29" s="16">
        <v>0</v>
      </c>
      <c r="I29" s="16">
        <v>0</v>
      </c>
      <c r="J29" s="16">
        <f>SUMIF(T_BS!$D:$D,T_CE!D29,T_BS!$W:$W)</f>
        <v>0</v>
      </c>
      <c r="K29" s="16">
        <f>J29-H29</f>
        <v>0</v>
      </c>
      <c r="L29" s="16"/>
      <c r="M29" s="16"/>
      <c r="N29" s="17"/>
    </row>
    <row r="32" spans="4:14" ht="18" customHeight="1">
      <c r="G32" s="6" t="s">
        <v>14</v>
      </c>
      <c r="J32" s="6" t="b">
        <f>T_BS!W219=J6</f>
        <v>1</v>
      </c>
    </row>
    <row r="33" spans="7:10" ht="18" customHeight="1">
      <c r="G33" s="6" t="s">
        <v>11</v>
      </c>
      <c r="J33" s="6" t="b">
        <f>T_BS!W220=J7</f>
        <v>1</v>
      </c>
    </row>
    <row r="34" spans="7:10" ht="18" customHeight="1">
      <c r="G34" s="6" t="s">
        <v>10</v>
      </c>
      <c r="J34" s="6" t="b">
        <f>T_BS!W221=J8</f>
        <v>1</v>
      </c>
    </row>
    <row r="35" spans="7:10" ht="18" customHeight="1">
      <c r="G35" s="6" t="s">
        <v>12</v>
      </c>
      <c r="J35" s="6" t="b">
        <f>T_BS!W223=J10</f>
        <v>1</v>
      </c>
    </row>
    <row r="36" spans="7:10" ht="18" customHeight="1">
      <c r="G36" s="6" t="s">
        <v>194</v>
      </c>
      <c r="J36" s="6" t="b">
        <f>T_BS!W227=J14</f>
        <v>1</v>
      </c>
    </row>
    <row r="37" spans="7:10" ht="18" customHeight="1">
      <c r="G37" s="6" t="s">
        <v>13</v>
      </c>
      <c r="J37" s="6" t="b">
        <f>T_BS!W237=J24</f>
        <v>1</v>
      </c>
    </row>
    <row r="38" spans="7:10" ht="18" customHeight="1">
      <c r="G38" s="6" t="s">
        <v>210</v>
      </c>
      <c r="J38" s="6" t="b">
        <f>T_BS!W241=J28</f>
        <v>1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theme="9" tint="0.79998168889431442"/>
  </sheetPr>
  <dimension ref="C2:W382"/>
  <sheetViews>
    <sheetView showGridLines="0" zoomScaleNormal="100" workbookViewId="0">
      <pane xSplit="7" ySplit="6" topLeftCell="O161" activePane="bottomRight" state="frozen"/>
      <selection activeCell="AA236" sqref="AA236"/>
      <selection pane="topRight" activeCell="AA236" sqref="AA236"/>
      <selection pane="bottomLeft" activeCell="AA236" sqref="AA236"/>
      <selection pane="bottomRight" activeCell="N62" sqref="N62"/>
    </sheetView>
  </sheetViews>
  <sheetFormatPr defaultColWidth="8.75" defaultRowHeight="18" customHeight="1" outlineLevelCol="1"/>
  <cols>
    <col min="1" max="3" width="2.375" style="6" customWidth="1"/>
    <col min="4" max="5" width="19.875" style="6" customWidth="1"/>
    <col min="6" max="6" width="19.875" style="40" customWidth="1"/>
    <col min="7" max="7" width="19.875" style="6" customWidth="1"/>
    <col min="8" max="8" width="19.25" style="565" hidden="1" customWidth="1" outlineLevel="1"/>
    <col min="9" max="10" width="19.375" style="565" hidden="1" customWidth="1" outlineLevel="1"/>
    <col min="11" max="11" width="19.375" style="565" customWidth="1" collapsed="1"/>
    <col min="12" max="12" width="3.125" style="6" customWidth="1"/>
    <col min="13" max="18" width="19.375" style="565" customWidth="1"/>
    <col min="19" max="19" width="2.25" style="6" customWidth="1"/>
    <col min="20" max="20" width="22.5" style="565" bestFit="1" customWidth="1"/>
    <col min="21" max="21" width="3.25" style="6" customWidth="1"/>
    <col min="22" max="22" width="13.75" style="6" customWidth="1"/>
    <col min="23" max="23" width="11.25" style="6" bestFit="1" customWidth="1"/>
    <col min="24" max="16384" width="8.75" style="6"/>
  </cols>
  <sheetData>
    <row r="2" spans="3:23" s="276" customFormat="1" ht="18" customHeight="1">
      <c r="F2" s="46"/>
      <c r="H2" s="564"/>
      <c r="I2" s="564"/>
      <c r="J2" s="564"/>
      <c r="K2" s="564"/>
      <c r="M2" s="564"/>
      <c r="N2" s="564"/>
      <c r="O2" s="564"/>
      <c r="P2" s="564"/>
      <c r="Q2" s="564"/>
      <c r="R2" s="564"/>
      <c r="T2" s="564"/>
    </row>
    <row r="3" spans="3:23" ht="18" customHeight="1">
      <c r="D3" s="47"/>
    </row>
    <row r="4" spans="3:23" s="566" customFormat="1" ht="18" customHeight="1">
      <c r="H4" s="412"/>
      <c r="I4" s="412"/>
      <c r="J4" s="412"/>
      <c r="K4" s="412"/>
      <c r="M4" s="412"/>
      <c r="N4" s="412"/>
      <c r="O4" s="412"/>
      <c r="P4" s="412"/>
      <c r="Q4" s="412"/>
      <c r="R4" s="412"/>
      <c r="T4" s="412"/>
    </row>
    <row r="5" spans="3:23" ht="18" customHeight="1" thickBot="1">
      <c r="H5" s="565">
        <f>H355-H352-H349</f>
        <v>0</v>
      </c>
      <c r="I5" s="565">
        <f>I355-I352-I349</f>
        <v>0</v>
      </c>
      <c r="J5" s="565">
        <f t="shared" ref="J5:R5" si="0">J355-J352-J349</f>
        <v>0</v>
      </c>
      <c r="K5" s="565">
        <f t="shared" si="0"/>
        <v>0</v>
      </c>
      <c r="M5" s="565">
        <f>M355-M352-M349</f>
        <v>0</v>
      </c>
      <c r="N5" s="565">
        <f t="shared" si="0"/>
        <v>0</v>
      </c>
      <c r="O5" s="565">
        <f t="shared" si="0"/>
        <v>0</v>
      </c>
      <c r="P5" s="565">
        <f t="shared" si="0"/>
        <v>0</v>
      </c>
      <c r="Q5" s="565">
        <f t="shared" si="0"/>
        <v>0</v>
      </c>
      <c r="R5" s="565">
        <f t="shared" si="0"/>
        <v>0</v>
      </c>
      <c r="T5" s="697">
        <f>T355-T352-T349</f>
        <v>0</v>
      </c>
    </row>
    <row r="6" spans="3:23" s="569" customFormat="1" ht="38.1" customHeight="1">
      <c r="D6" s="9" t="s">
        <v>1363</v>
      </c>
      <c r="E6" s="10" t="s">
        <v>1364</v>
      </c>
      <c r="F6" s="10" t="s">
        <v>17</v>
      </c>
      <c r="G6" s="10" t="s">
        <v>693</v>
      </c>
      <c r="H6" s="442" t="s">
        <v>15</v>
      </c>
      <c r="I6" s="442" t="s">
        <v>217</v>
      </c>
      <c r="J6" s="442" t="s">
        <v>215</v>
      </c>
      <c r="K6" s="567" t="s">
        <v>227</v>
      </c>
      <c r="L6" s="568"/>
      <c r="M6" s="342" t="s">
        <v>1494</v>
      </c>
      <c r="N6" s="343" t="s">
        <v>1495</v>
      </c>
      <c r="O6" s="343" t="s">
        <v>1496</v>
      </c>
      <c r="P6" s="343" t="s">
        <v>1497</v>
      </c>
      <c r="Q6" s="343" t="s">
        <v>1498</v>
      </c>
      <c r="R6" s="344" t="s">
        <v>1509</v>
      </c>
      <c r="T6" s="570" t="s">
        <v>1510</v>
      </c>
    </row>
    <row r="7" spans="3:23" ht="18" customHeight="1">
      <c r="C7" s="6">
        <v>1</v>
      </c>
      <c r="D7" s="571" t="s">
        <v>694</v>
      </c>
      <c r="E7" s="572" t="s">
        <v>694</v>
      </c>
      <c r="F7" s="573"/>
      <c r="G7" s="572" t="s">
        <v>695</v>
      </c>
      <c r="H7" s="574">
        <f>SUM(H8,H10,H74,H125,H175)</f>
        <v>16034243935</v>
      </c>
      <c r="I7" s="574">
        <f>SUM(I8,I10,I74,I125,I175)</f>
        <v>6301153</v>
      </c>
      <c r="J7" s="574">
        <f>SUM(J8,J10,J74,J125,J175)</f>
        <v>-817325686</v>
      </c>
      <c r="K7" s="575">
        <f>SUM(K8,K10,K74,K125,K175)</f>
        <v>15223219402</v>
      </c>
      <c r="M7" s="576">
        <f t="shared" ref="M7:R7" si="1">SUM(M8,M10,M74,M125,M175)</f>
        <v>0</v>
      </c>
      <c r="N7" s="574">
        <f>SUM(N8,N10,N74,N125,N175)</f>
        <v>0</v>
      </c>
      <c r="O7" s="574">
        <f>SUM(O8,O10,O74,O125,O175)</f>
        <v>0</v>
      </c>
      <c r="P7" s="574">
        <f t="shared" si="1"/>
        <v>0</v>
      </c>
      <c r="Q7" s="574">
        <f t="shared" si="1"/>
        <v>0</v>
      </c>
      <c r="R7" s="575">
        <f t="shared" si="1"/>
        <v>0</v>
      </c>
      <c r="T7" s="577">
        <f>SUM(T8,T10,T74,T125,T175)</f>
        <v>15223219402</v>
      </c>
    </row>
    <row r="8" spans="3:23" ht="18" customHeight="1">
      <c r="C8" s="6">
        <v>1</v>
      </c>
      <c r="D8" s="571" t="s">
        <v>696</v>
      </c>
      <c r="E8" s="572" t="s">
        <v>696</v>
      </c>
      <c r="F8" s="573"/>
      <c r="G8" s="572" t="s">
        <v>209</v>
      </c>
      <c r="H8" s="574">
        <f>H9</f>
        <v>-18548422530</v>
      </c>
      <c r="I8" s="574">
        <f>I9</f>
        <v>-1991551811</v>
      </c>
      <c r="J8" s="574">
        <f>J9</f>
        <v>-937553701</v>
      </c>
      <c r="K8" s="575">
        <f>K9</f>
        <v>-21477528042</v>
      </c>
      <c r="M8" s="576">
        <f t="shared" ref="M8:T8" si="2">M9</f>
        <v>0</v>
      </c>
      <c r="N8" s="574">
        <f t="shared" si="2"/>
        <v>-3632628176</v>
      </c>
      <c r="O8" s="574">
        <f t="shared" si="2"/>
        <v>0</v>
      </c>
      <c r="P8" s="574">
        <f t="shared" si="2"/>
        <v>0</v>
      </c>
      <c r="Q8" s="574">
        <f t="shared" si="2"/>
        <v>2042283617</v>
      </c>
      <c r="R8" s="575">
        <f t="shared" si="2"/>
        <v>-1590344559</v>
      </c>
      <c r="T8" s="577">
        <f t="shared" si="2"/>
        <v>-23067872601</v>
      </c>
    </row>
    <row r="9" spans="3:23" ht="18" customHeight="1">
      <c r="C9" s="6">
        <v>1</v>
      </c>
      <c r="D9" s="578" t="s">
        <v>697</v>
      </c>
      <c r="E9" s="579" t="s">
        <v>697</v>
      </c>
      <c r="F9" s="580" t="s">
        <v>2135</v>
      </c>
      <c r="G9" s="579" t="s">
        <v>698</v>
      </c>
      <c r="H9" s="879">
        <v>-18548422530</v>
      </c>
      <c r="I9" s="581">
        <v>-1991551811</v>
      </c>
      <c r="J9" s="581">
        <v>-937553701</v>
      </c>
      <c r="K9" s="582">
        <f>SUM(H9:J9)</f>
        <v>-21477528042</v>
      </c>
      <c r="M9" s="583">
        <f>SUMIF('CF.2'!$H$5:$H$24,'CF.1'!E9,'CF.2'!$J$5:$J$24)-SUMIF('CF.2'!$K$5:$K$24,'CF.1'!E9,'CF.2'!$M$5:$M$24)</f>
        <v>0</v>
      </c>
      <c r="N9" s="581">
        <f>SUMIF('CF.2'!$H$30:$H$59,'CF.1'!E9,'CF.2'!$J$30:$J$59)+SUMIF('CF.2'!$K$30:$K$59,'CF.1'!E9,'CF.2'!$M$30:$M$59)</f>
        <v>-3632628176</v>
      </c>
      <c r="O9" s="581">
        <f>SUMIF('CF.2'!$H$64:$H$98,'CF.1'!E9,'CF.2'!$J$64:$J$98)+SUMIF('CF.2'!$K$64:$K$98,'CF.1'!E9,'CF.2'!$M$64:$M$98)</f>
        <v>0</v>
      </c>
      <c r="P9" s="581">
        <f>SUMIF('CF.2'!$H$102:$H$108,'CF.1'!E9,'CF.2'!$J$102:$J$108)+SUMIF('CF.2'!$K$102:$K$108,'CF.1'!E9,'CF.2'!$M$102:$M$108)</f>
        <v>0</v>
      </c>
      <c r="Q9" s="581">
        <f>SUMIF('CF.2'!$H$113:$H$121,'CF.1'!E9,'CF.2'!$J$113:$J$121)+SUMIF('CF.2'!$K$113:$K$121,'CF.1'!E9,'CF.2'!$M$113:$M$121)</f>
        <v>2042283617</v>
      </c>
      <c r="R9" s="582">
        <f>SUM(M9:Q9)</f>
        <v>-1590344559</v>
      </c>
      <c r="T9" s="584">
        <f>ROUND(R9+K9,0)</f>
        <v>-23067872601</v>
      </c>
      <c r="V9" s="7" t="b">
        <f>T9-T_IS!W124=0</f>
        <v>1</v>
      </c>
      <c r="W9" s="7"/>
    </row>
    <row r="10" spans="3:23" ht="18" customHeight="1">
      <c r="C10" s="6">
        <v>1</v>
      </c>
      <c r="D10" s="571" t="s">
        <v>699</v>
      </c>
      <c r="E10" s="572" t="s">
        <v>699</v>
      </c>
      <c r="F10" s="573"/>
      <c r="G10" s="572" t="s">
        <v>700</v>
      </c>
      <c r="H10" s="574">
        <f>SUM(H11:H73)</f>
        <v>19512133853</v>
      </c>
      <c r="I10" s="574">
        <f>SUM(I11:I73)</f>
        <v>184884620</v>
      </c>
      <c r="J10" s="574">
        <f>SUM(J11:J73)</f>
        <v>870094281</v>
      </c>
      <c r="K10" s="575">
        <f>SUM(K11:K73)</f>
        <v>20567112754</v>
      </c>
      <c r="M10" s="576">
        <f t="shared" ref="M10:R10" si="3">SUM(M11:M73)</f>
        <v>0</v>
      </c>
      <c r="N10" s="574">
        <f t="shared" si="3"/>
        <v>3604082115</v>
      </c>
      <c r="O10" s="574">
        <f t="shared" si="3"/>
        <v>-9497071</v>
      </c>
      <c r="P10" s="574">
        <f t="shared" si="3"/>
        <v>0</v>
      </c>
      <c r="Q10" s="574">
        <f t="shared" si="3"/>
        <v>-2042283617</v>
      </c>
      <c r="R10" s="575">
        <f t="shared" si="3"/>
        <v>1552301427</v>
      </c>
      <c r="T10" s="577">
        <f>SUM(T11:T73)</f>
        <v>22119414181</v>
      </c>
      <c r="W10" s="7">
        <f>T10+T74</f>
        <v>21446164110</v>
      </c>
    </row>
    <row r="11" spans="3:23" ht="18" customHeight="1">
      <c r="C11" s="6">
        <v>1</v>
      </c>
      <c r="D11" s="578" t="s">
        <v>701</v>
      </c>
      <c r="E11" s="579" t="s">
        <v>701</v>
      </c>
      <c r="F11" s="580" t="s">
        <v>489</v>
      </c>
      <c r="G11" s="579" t="s">
        <v>489</v>
      </c>
      <c r="H11" s="879">
        <v>2997754997</v>
      </c>
      <c r="I11" s="581">
        <v>15433032</v>
      </c>
      <c r="J11" s="581">
        <v>294143256</v>
      </c>
      <c r="K11" s="582">
        <f t="shared" ref="K11:K42" si="4">SUM(H11:J11)</f>
        <v>3307331285</v>
      </c>
      <c r="M11" s="583">
        <f>SUMIF('CF.2'!$H$5:$H$24,'CF.1'!E11,'CF.2'!$J$5:$J$24)-SUMIF('CF.2'!$K$5:$K$24,'CF.1'!E11,'CF.2'!$M$5:$M$24)</f>
        <v>0</v>
      </c>
      <c r="N11" s="581">
        <f>SUMIF('CF.2'!$H$30:$H$59,'CF.1'!E11,'CF.2'!$J$30:$J$59)+SUMIF('CF.2'!$K$30:$K$59,'CF.1'!E11,'CF.2'!$M$30:$M$59)</f>
        <v>0</v>
      </c>
      <c r="O11" s="581">
        <f>SUMIF('CF.2'!$H$64:$H$98,'CF.1'!E11,'CF.2'!$J$64:$J$98)+SUMIF('CF.2'!$K$64:$K$98,'CF.1'!E11,'CF.2'!$M$64:$M$98)</f>
        <v>0</v>
      </c>
      <c r="P11" s="581">
        <f>SUMIF('CF.2'!$H$102:$H$108,'CF.1'!E11,'CF.2'!$J$102:$J$108)+SUMIF('CF.2'!$K$102:$K$108,'CF.1'!E11,'CF.2'!$M$102:$M$108)</f>
        <v>0</v>
      </c>
      <c r="Q11" s="581">
        <f>SUMIF('CF.2'!$H$113:$H$121,'CF.1'!E11,'CF.2'!$J$113:$J$121)+SUMIF('CF.2'!$K$113:$K$121,'CF.1'!E11,'CF.2'!$M$113:$M$121)</f>
        <v>0</v>
      </c>
      <c r="R11" s="582">
        <f t="shared" ref="R11:R73" si="5">SUM(M11:Q11)</f>
        <v>0</v>
      </c>
      <c r="T11" s="584">
        <f t="shared" ref="T11:T42" si="6">ROUND(R11+K11,0)</f>
        <v>3307331285</v>
      </c>
    </row>
    <row r="12" spans="3:23" ht="18" customHeight="1">
      <c r="C12" s="6">
        <v>1</v>
      </c>
      <c r="D12" s="578" t="s">
        <v>702</v>
      </c>
      <c r="E12" s="579" t="s">
        <v>702</v>
      </c>
      <c r="F12" s="580" t="s">
        <v>386</v>
      </c>
      <c r="G12" s="579" t="s">
        <v>386</v>
      </c>
      <c r="H12" s="879">
        <v>5827842055</v>
      </c>
      <c r="I12" s="581">
        <v>0</v>
      </c>
      <c r="J12" s="581">
        <v>16368739</v>
      </c>
      <c r="K12" s="582">
        <f t="shared" si="4"/>
        <v>5844210794</v>
      </c>
      <c r="M12" s="583">
        <f>SUMIF('CF.2'!$H$5:$H$24,'CF.1'!E12,'CF.2'!$J$5:$J$24)-SUMIF('CF.2'!$K$5:$K$24,'CF.1'!E12,'CF.2'!$M$5:$M$24)</f>
        <v>0</v>
      </c>
      <c r="N12" s="581">
        <f>SUMIF('CF.2'!$H$30:$H$59,'CF.1'!E12,'CF.2'!$J$30:$J$59)+SUMIF('CF.2'!$K$30:$K$59,'CF.1'!E12,'CF.2'!$M$30:$M$59)</f>
        <v>719869189</v>
      </c>
      <c r="O12" s="581">
        <f>SUMIF('CF.2'!$H$64:$H$98,'CF.1'!E12,'CF.2'!$J$64:$J$98)+SUMIF('CF.2'!$K$64:$K$98,'CF.1'!E12,'CF.2'!$M$64:$M$98)</f>
        <v>0</v>
      </c>
      <c r="P12" s="581">
        <f>SUMIF('CF.2'!$H$102:$H$108,'CF.1'!E12,'CF.2'!$J$102:$J$108)+SUMIF('CF.2'!$K$102:$K$108,'CF.1'!E12,'CF.2'!$M$102:$M$108)</f>
        <v>0</v>
      </c>
      <c r="Q12" s="581">
        <f>SUMIF('CF.2'!$H$113:$H$121,'CF.1'!E12,'CF.2'!$J$113:$J$121)+SUMIF('CF.2'!$K$113:$K$121,'CF.1'!E12,'CF.2'!$M$113:$M$121)</f>
        <v>0</v>
      </c>
      <c r="R12" s="582">
        <f t="shared" si="5"/>
        <v>719869189</v>
      </c>
      <c r="T12" s="584">
        <f t="shared" si="6"/>
        <v>6564079983</v>
      </c>
    </row>
    <row r="13" spans="3:23" ht="18" customHeight="1">
      <c r="C13" s="6">
        <v>1</v>
      </c>
      <c r="D13" s="578" t="s">
        <v>703</v>
      </c>
      <c r="E13" s="579" t="s">
        <v>703</v>
      </c>
      <c r="F13" s="580" t="s">
        <v>262</v>
      </c>
      <c r="G13" s="579" t="s">
        <v>262</v>
      </c>
      <c r="H13" s="879">
        <v>1661439528</v>
      </c>
      <c r="I13" s="581">
        <v>0</v>
      </c>
      <c r="J13" s="581">
        <v>19963101</v>
      </c>
      <c r="K13" s="582">
        <f t="shared" si="4"/>
        <v>1681402629</v>
      </c>
      <c r="M13" s="583">
        <f>SUMIF('CF.2'!$H$5:$H$24,'CF.1'!E13,'CF.2'!$J$5:$J$24)-SUMIF('CF.2'!$K$5:$K$24,'CF.1'!E13,'CF.2'!$M$5:$M$24)</f>
        <v>0</v>
      </c>
      <c r="N13" s="581">
        <f>SUMIF('CF.2'!$H$30:$H$59,'CF.1'!E13,'CF.2'!$J$30:$J$59)+SUMIF('CF.2'!$K$30:$K$59,'CF.1'!E13,'CF.2'!$M$30:$M$59)</f>
        <v>0</v>
      </c>
      <c r="O13" s="581">
        <f>SUMIF('CF.2'!$H$64:$H$98,'CF.1'!E13,'CF.2'!$J$64:$J$98)+SUMIF('CF.2'!$K$64:$K$98,'CF.1'!E13,'CF.2'!$M$64:$M$98)</f>
        <v>0</v>
      </c>
      <c r="P13" s="581">
        <f>SUMIF('CF.2'!$H$102:$H$108,'CF.1'!E13,'CF.2'!$J$102:$J$108)+SUMIF('CF.2'!$K$102:$K$108,'CF.1'!E13,'CF.2'!$M$102:$M$108)</f>
        <v>0</v>
      </c>
      <c r="Q13" s="581">
        <f>SUMIF('CF.2'!$H$113:$H$121,'CF.1'!E13,'CF.2'!$J$113:$J$121)+SUMIF('CF.2'!$K$113:$K$121,'CF.1'!E13,'CF.2'!$M$113:$M$121)</f>
        <v>0</v>
      </c>
      <c r="R13" s="582">
        <f t="shared" si="5"/>
        <v>0</v>
      </c>
      <c r="T13" s="584">
        <f t="shared" si="6"/>
        <v>1681402629</v>
      </c>
    </row>
    <row r="14" spans="3:23" ht="18" customHeight="1">
      <c r="C14" s="6">
        <v>1</v>
      </c>
      <c r="D14" s="578" t="s">
        <v>704</v>
      </c>
      <c r="E14" s="579" t="s">
        <v>704</v>
      </c>
      <c r="F14" s="580" t="s">
        <v>1461</v>
      </c>
      <c r="G14" s="579" t="s">
        <v>302</v>
      </c>
      <c r="H14" s="879">
        <v>-93637734</v>
      </c>
      <c r="I14" s="581">
        <v>64654513</v>
      </c>
      <c r="J14" s="581">
        <v>0</v>
      </c>
      <c r="K14" s="582">
        <f t="shared" si="4"/>
        <v>-28983221</v>
      </c>
      <c r="M14" s="583">
        <f>SUMIF('CF.2'!$H$5:$H$24,'CF.1'!E14,'CF.2'!$J$5:$J$24)-SUMIF('CF.2'!$K$5:$K$24,'CF.1'!E14,'CF.2'!$M$5:$M$24)</f>
        <v>0</v>
      </c>
      <c r="N14" s="581">
        <f>SUMIF('CF.2'!$H$30:$H$59,'CF.1'!E14,'CF.2'!$J$30:$J$59)+SUMIF('CF.2'!$K$30:$K$59,'CF.1'!E14,'CF.2'!$M$30:$M$59)</f>
        <v>0</v>
      </c>
      <c r="O14" s="581">
        <f>SUMIF('CF.2'!$H$64:$H$98,'CF.1'!E14,'CF.2'!$J$64:$J$98)+SUMIF('CF.2'!$K$64:$K$98,'CF.1'!E14,'CF.2'!$M$64:$M$98)</f>
        <v>0</v>
      </c>
      <c r="P14" s="581">
        <f>SUMIF('CF.2'!$H$102:$H$108,'CF.1'!E14,'CF.2'!$J$102:$J$108)+SUMIF('CF.2'!$K$102:$K$108,'CF.1'!E14,'CF.2'!$M$102:$M$108)</f>
        <v>0</v>
      </c>
      <c r="Q14" s="581">
        <f>SUMIF('CF.2'!$H$113:$H$121,'CF.1'!E14,'CF.2'!$J$113:$J$121)+SUMIF('CF.2'!$K$113:$K$121,'CF.1'!E14,'CF.2'!$M$113:$M$121)</f>
        <v>0</v>
      </c>
      <c r="R14" s="582">
        <f t="shared" si="5"/>
        <v>0</v>
      </c>
      <c r="T14" s="584">
        <f t="shared" si="6"/>
        <v>-28983221</v>
      </c>
      <c r="V14" s="6" t="b">
        <f>T14=T_IS!W69</f>
        <v>1</v>
      </c>
    </row>
    <row r="15" spans="3:23" ht="18" customHeight="1">
      <c r="C15" s="6">
        <v>1</v>
      </c>
      <c r="D15" s="578" t="s">
        <v>705</v>
      </c>
      <c r="E15" s="579" t="s">
        <v>705</v>
      </c>
      <c r="F15" s="580" t="s">
        <v>684</v>
      </c>
      <c r="G15" s="579" t="s">
        <v>684</v>
      </c>
      <c r="H15" s="879">
        <v>2170624184</v>
      </c>
      <c r="I15" s="581">
        <v>0</v>
      </c>
      <c r="J15" s="581">
        <v>0</v>
      </c>
      <c r="K15" s="582">
        <f t="shared" si="4"/>
        <v>2170624184</v>
      </c>
      <c r="M15" s="583">
        <f>SUMIF('CF.2'!$H$5:$H$24,'CF.1'!E15,'CF.2'!$J$5:$J$24)-SUMIF('CF.2'!$K$5:$K$24,'CF.1'!E15,'CF.2'!$M$5:$M$24)</f>
        <v>0</v>
      </c>
      <c r="N15" s="581">
        <f>SUMIF('CF.2'!$H$30:$H$59,'CF.1'!E15,'CF.2'!$J$30:$J$59)+SUMIF('CF.2'!$K$30:$K$59,'CF.1'!E15,'CF.2'!$M$30:$M$59)</f>
        <v>0</v>
      </c>
      <c r="O15" s="581">
        <f>SUMIF('CF.2'!$H$64:$H$98,'CF.1'!E15,'CF.2'!$J$64:$J$98)+SUMIF('CF.2'!$K$64:$K$98,'CF.1'!E15,'CF.2'!$M$64:$M$98)</f>
        <v>0</v>
      </c>
      <c r="P15" s="581">
        <f>SUMIF('CF.2'!$H$102:$H$108,'CF.1'!E15,'CF.2'!$J$102:$J$108)+SUMIF('CF.2'!$K$102:$K$108,'CF.1'!E15,'CF.2'!$M$102:$M$108)</f>
        <v>0</v>
      </c>
      <c r="Q15" s="581">
        <f>SUMIF('CF.2'!$H$113:$H$121,'CF.1'!E15,'CF.2'!$J$113:$J$121)+SUMIF('CF.2'!$K$113:$K$121,'CF.1'!E15,'CF.2'!$M$113:$M$121)</f>
        <v>0</v>
      </c>
      <c r="R15" s="582">
        <f t="shared" si="5"/>
        <v>0</v>
      </c>
      <c r="T15" s="584">
        <f t="shared" si="6"/>
        <v>2170624184</v>
      </c>
      <c r="V15" s="6" t="b">
        <f>T_IS!W94+T_IS!W95=T15</f>
        <v>1</v>
      </c>
    </row>
    <row r="16" spans="3:23" ht="18" customHeight="1">
      <c r="C16" s="6">
        <v>1</v>
      </c>
      <c r="D16" s="578" t="s">
        <v>706</v>
      </c>
      <c r="E16" s="579" t="s">
        <v>706</v>
      </c>
      <c r="F16" s="580" t="s">
        <v>1493</v>
      </c>
      <c r="G16" s="579" t="s">
        <v>707</v>
      </c>
      <c r="H16" s="581">
        <v>0</v>
      </c>
      <c r="I16" s="581">
        <v>0</v>
      </c>
      <c r="J16" s="581">
        <v>0</v>
      </c>
      <c r="K16" s="582">
        <f t="shared" si="4"/>
        <v>0</v>
      </c>
      <c r="M16" s="583">
        <f>SUMIF('CF.2'!$H$5:$H$24,'CF.1'!E16,'CF.2'!$J$5:$J$24)-SUMIF('CF.2'!$K$5:$K$24,'CF.1'!E16,'CF.2'!$M$5:$M$24)</f>
        <v>0</v>
      </c>
      <c r="N16" s="581">
        <f>SUMIF('CF.2'!$H$30:$H$59,'CF.1'!E16,'CF.2'!$J$30:$J$59)+SUMIF('CF.2'!$K$30:$K$59,'CF.1'!E16,'CF.2'!$M$30:$M$59)</f>
        <v>0</v>
      </c>
      <c r="O16" s="581">
        <f>SUMIF('CF.2'!$H$64:$H$98,'CF.1'!E16,'CF.2'!$J$64:$J$98)+SUMIF('CF.2'!$K$64:$K$98,'CF.1'!E16,'CF.2'!$M$64:$M$98)</f>
        <v>0</v>
      </c>
      <c r="P16" s="581">
        <f>SUMIF('CF.2'!$H$102:$H$108,'CF.1'!E16,'CF.2'!$J$102:$J$108)+SUMIF('CF.2'!$K$102:$K$108,'CF.1'!E16,'CF.2'!$M$102:$M$108)</f>
        <v>0</v>
      </c>
      <c r="Q16" s="581">
        <f>SUMIF('CF.2'!$H$113:$H$121,'CF.1'!E16,'CF.2'!$J$113:$J$121)+SUMIF('CF.2'!$K$113:$K$121,'CF.1'!E16,'CF.2'!$M$113:$M$121)</f>
        <v>0</v>
      </c>
      <c r="R16" s="582">
        <f t="shared" si="5"/>
        <v>0</v>
      </c>
      <c r="T16" s="584">
        <f t="shared" si="6"/>
        <v>0</v>
      </c>
    </row>
    <row r="17" spans="3:22" ht="18" customHeight="1">
      <c r="C17" s="6">
        <v>1</v>
      </c>
      <c r="D17" s="578" t="s">
        <v>708</v>
      </c>
      <c r="E17" s="579" t="s">
        <v>708</v>
      </c>
      <c r="F17" s="580" t="s">
        <v>1465</v>
      </c>
      <c r="G17" s="579" t="s">
        <v>709</v>
      </c>
      <c r="H17" s="879">
        <v>996359683</v>
      </c>
      <c r="I17" s="581">
        <v>0</v>
      </c>
      <c r="J17" s="581">
        <v>0</v>
      </c>
      <c r="K17" s="582">
        <f t="shared" si="4"/>
        <v>996359683</v>
      </c>
      <c r="M17" s="583">
        <f>SUMIF('CF.2'!$H$5:$H$24,'CF.1'!E17,'CF.2'!$J$5:$J$24)-SUMIF('CF.2'!$K$5:$K$24,'CF.1'!E17,'CF.2'!$M$5:$M$24)</f>
        <v>0</v>
      </c>
      <c r="N17" s="581">
        <f>SUMIF('CF.2'!$H$30:$H$59,'CF.1'!E17,'CF.2'!$J$30:$J$59)+SUMIF('CF.2'!$K$30:$K$59,'CF.1'!E17,'CF.2'!$M$30:$M$59)</f>
        <v>0</v>
      </c>
      <c r="O17" s="581">
        <f>SUMIF('CF.2'!$H$64:$H$98,'CF.1'!E17,'CF.2'!$J$64:$J$98)+SUMIF('CF.2'!$K$64:$K$98,'CF.1'!E17,'CF.2'!$M$64:$M$98)</f>
        <v>0</v>
      </c>
      <c r="P17" s="581">
        <f>SUMIF('CF.2'!$H$102:$H$108,'CF.1'!E17,'CF.2'!$J$102:$J$108)+SUMIF('CF.2'!$K$102:$K$108,'CF.1'!E17,'CF.2'!$M$102:$M$108)</f>
        <v>0</v>
      </c>
      <c r="Q17" s="581">
        <f>SUMIF('CF.2'!$H$113:$H$121,'CF.1'!E17,'CF.2'!$J$113:$J$121)+SUMIF('CF.2'!$K$113:$K$121,'CF.1'!E17,'CF.2'!$M$113:$M$121)</f>
        <v>0</v>
      </c>
      <c r="R17" s="582">
        <f t="shared" si="5"/>
        <v>0</v>
      </c>
      <c r="T17" s="584">
        <f t="shared" si="6"/>
        <v>996359683</v>
      </c>
    </row>
    <row r="18" spans="3:22" ht="18" customHeight="1">
      <c r="C18" s="6">
        <v>1</v>
      </c>
      <c r="D18" s="578" t="s">
        <v>710</v>
      </c>
      <c r="E18" s="579" t="s">
        <v>710</v>
      </c>
      <c r="F18" s="580" t="s">
        <v>612</v>
      </c>
      <c r="G18" s="579" t="s">
        <v>711</v>
      </c>
      <c r="H18" s="581">
        <v>0</v>
      </c>
      <c r="I18" s="581">
        <v>0</v>
      </c>
      <c r="J18" s="581">
        <v>0</v>
      </c>
      <c r="K18" s="582">
        <f t="shared" si="4"/>
        <v>0</v>
      </c>
      <c r="M18" s="583">
        <f>SUMIF('CF.2'!$H$5:$H$24,'CF.1'!E18,'CF.2'!$J$5:$J$24)-SUMIF('CF.2'!$K$5:$K$24,'CF.1'!E18,'CF.2'!$M$5:$M$24)</f>
        <v>0</v>
      </c>
      <c r="N18" s="581">
        <f>SUMIF('CF.2'!$H$30:$H$59,'CF.1'!E18,'CF.2'!$J$30:$J$59)+SUMIF('CF.2'!$K$30:$K$59,'CF.1'!E18,'CF.2'!$M$30:$M$59)</f>
        <v>0</v>
      </c>
      <c r="O18" s="581">
        <f>SUMIF('CF.2'!$H$64:$H$98,'CF.1'!E18,'CF.2'!$J$64:$J$98)+SUMIF('CF.2'!$K$64:$K$98,'CF.1'!E18,'CF.2'!$M$64:$M$98)</f>
        <v>0</v>
      </c>
      <c r="P18" s="581">
        <f>SUMIF('CF.2'!$H$102:$H$108,'CF.1'!E18,'CF.2'!$J$102:$J$108)+SUMIF('CF.2'!$K$102:$K$108,'CF.1'!E18,'CF.2'!$M$102:$M$108)</f>
        <v>0</v>
      </c>
      <c r="Q18" s="581">
        <f>SUMIF('CF.2'!$H$113:$H$121,'CF.1'!E18,'CF.2'!$J$113:$J$121)+SUMIF('CF.2'!$K$113:$K$121,'CF.1'!E18,'CF.2'!$M$113:$M$121)</f>
        <v>0</v>
      </c>
      <c r="R18" s="582">
        <f t="shared" si="5"/>
        <v>0</v>
      </c>
      <c r="T18" s="584">
        <f t="shared" si="6"/>
        <v>0</v>
      </c>
    </row>
    <row r="19" spans="3:22" ht="18" customHeight="1">
      <c r="C19" s="6">
        <v>1</v>
      </c>
      <c r="D19" s="578" t="s">
        <v>712</v>
      </c>
      <c r="E19" s="579" t="s">
        <v>712</v>
      </c>
      <c r="F19" s="580" t="s">
        <v>612</v>
      </c>
      <c r="G19" s="579" t="s">
        <v>713</v>
      </c>
      <c r="H19" s="581">
        <v>0</v>
      </c>
      <c r="I19" s="581">
        <v>0</v>
      </c>
      <c r="J19" s="581">
        <v>0</v>
      </c>
      <c r="K19" s="582">
        <f t="shared" si="4"/>
        <v>0</v>
      </c>
      <c r="M19" s="583">
        <f>SUMIF('CF.2'!$H$5:$H$24,'CF.1'!E19,'CF.2'!$J$5:$J$24)-SUMIF('CF.2'!$K$5:$K$24,'CF.1'!E19,'CF.2'!$M$5:$M$24)</f>
        <v>0</v>
      </c>
      <c r="N19" s="581">
        <f>SUMIF('CF.2'!$H$30:$H$59,'CF.1'!E19,'CF.2'!$J$30:$J$59)+SUMIF('CF.2'!$K$30:$K$59,'CF.1'!E19,'CF.2'!$M$30:$M$59)</f>
        <v>0</v>
      </c>
      <c r="O19" s="581">
        <f>SUMIF('CF.2'!$H$64:$H$98,'CF.1'!E19,'CF.2'!$J$64:$J$98)+SUMIF('CF.2'!$K$64:$K$98,'CF.1'!E19,'CF.2'!$M$64:$M$98)</f>
        <v>0</v>
      </c>
      <c r="P19" s="581">
        <f>SUMIF('CF.2'!$H$102:$H$108,'CF.1'!E19,'CF.2'!$J$102:$J$108)+SUMIF('CF.2'!$K$102:$K$108,'CF.1'!E19,'CF.2'!$M$102:$M$108)</f>
        <v>0</v>
      </c>
      <c r="Q19" s="581">
        <f>SUMIF('CF.2'!$H$113:$H$121,'CF.1'!E19,'CF.2'!$J$113:$J$121)+SUMIF('CF.2'!$K$113:$K$121,'CF.1'!E19,'CF.2'!$M$113:$M$121)</f>
        <v>0</v>
      </c>
      <c r="R19" s="582">
        <f t="shared" si="5"/>
        <v>0</v>
      </c>
      <c r="T19" s="584">
        <f t="shared" si="6"/>
        <v>0</v>
      </c>
    </row>
    <row r="20" spans="3:22" ht="18" customHeight="1">
      <c r="C20" s="6">
        <v>1</v>
      </c>
      <c r="D20" s="578" t="s">
        <v>714</v>
      </c>
      <c r="E20" s="579" t="s">
        <v>714</v>
      </c>
      <c r="F20" s="580" t="s">
        <v>1842</v>
      </c>
      <c r="G20" s="579" t="s">
        <v>715</v>
      </c>
      <c r="H20" s="581">
        <v>0</v>
      </c>
      <c r="I20" s="581">
        <v>0</v>
      </c>
      <c r="J20" s="581">
        <v>0</v>
      </c>
      <c r="K20" s="582">
        <f t="shared" si="4"/>
        <v>0</v>
      </c>
      <c r="M20" s="583">
        <f>SUMIF('CF.2'!$H$5:$H$24,'CF.1'!E20,'CF.2'!$J$5:$J$24)-SUMIF('CF.2'!$K$5:$K$24,'CF.1'!E20,'CF.2'!$M$5:$M$24)</f>
        <v>0</v>
      </c>
      <c r="N20" s="581">
        <f>SUMIF('CF.2'!$H$30:$H$59,'CF.1'!E20,'CF.2'!$J$30:$J$59)+SUMIF('CF.2'!$K$30:$K$59,'CF.1'!E20,'CF.2'!$M$30:$M$59)</f>
        <v>0</v>
      </c>
      <c r="O20" s="581">
        <f>SUMIF('CF.2'!$H$64:$H$98,'CF.1'!E20,'CF.2'!$J$64:$J$98)+SUMIF('CF.2'!$K$64:$K$98,'CF.1'!E20,'CF.2'!$M$64:$M$98)</f>
        <v>0</v>
      </c>
      <c r="P20" s="581">
        <f>SUMIF('CF.2'!$H$102:$H$108,'CF.1'!E20,'CF.2'!$J$102:$J$108)+SUMIF('CF.2'!$K$102:$K$108,'CF.1'!E20,'CF.2'!$M$102:$M$108)</f>
        <v>0</v>
      </c>
      <c r="Q20" s="581">
        <f>SUMIF('CF.2'!$H$113:$H$121,'CF.1'!E20,'CF.2'!$J$113:$J$121)+SUMIF('CF.2'!$K$113:$K$121,'CF.1'!E20,'CF.2'!$M$113:$M$121)</f>
        <v>0</v>
      </c>
      <c r="R20" s="582">
        <f t="shared" si="5"/>
        <v>0</v>
      </c>
      <c r="T20" s="584">
        <f t="shared" si="6"/>
        <v>0</v>
      </c>
      <c r="V20" s="6" t="b">
        <f>T20=-T_IS!W115</f>
        <v>1</v>
      </c>
    </row>
    <row r="21" spans="3:22" ht="18" customHeight="1">
      <c r="C21" s="6">
        <v>1</v>
      </c>
      <c r="D21" s="578" t="s">
        <v>716</v>
      </c>
      <c r="E21" s="579" t="s">
        <v>716</v>
      </c>
      <c r="F21" s="580" t="s">
        <v>612</v>
      </c>
      <c r="G21" s="579" t="s">
        <v>717</v>
      </c>
      <c r="H21" s="581">
        <v>0</v>
      </c>
      <c r="I21" s="581">
        <v>0</v>
      </c>
      <c r="J21" s="581">
        <v>0</v>
      </c>
      <c r="K21" s="582">
        <f t="shared" si="4"/>
        <v>0</v>
      </c>
      <c r="M21" s="583">
        <f>SUMIF('CF.2'!$H$5:$H$24,'CF.1'!E21,'CF.2'!$J$5:$J$24)-SUMIF('CF.2'!$K$5:$K$24,'CF.1'!E21,'CF.2'!$M$5:$M$24)</f>
        <v>0</v>
      </c>
      <c r="N21" s="581">
        <f>SUMIF('CF.2'!$H$30:$H$59,'CF.1'!E21,'CF.2'!$J$30:$J$59)+SUMIF('CF.2'!$K$30:$K$59,'CF.1'!E21,'CF.2'!$M$30:$M$59)</f>
        <v>0</v>
      </c>
      <c r="O21" s="581">
        <f>SUMIF('CF.2'!$H$64:$H$98,'CF.1'!E21,'CF.2'!$J$64:$J$98)+SUMIF('CF.2'!$K$64:$K$98,'CF.1'!E21,'CF.2'!$M$64:$M$98)</f>
        <v>0</v>
      </c>
      <c r="P21" s="581">
        <f>SUMIF('CF.2'!$H$102:$H$108,'CF.1'!E21,'CF.2'!$J$102:$J$108)+SUMIF('CF.2'!$K$102:$K$108,'CF.1'!E21,'CF.2'!$M$102:$M$108)</f>
        <v>0</v>
      </c>
      <c r="Q21" s="581">
        <f>SUMIF('CF.2'!$H$113:$H$121,'CF.1'!E21,'CF.2'!$J$113:$J$121)+SUMIF('CF.2'!$K$113:$K$121,'CF.1'!E21,'CF.2'!$M$113:$M$121)</f>
        <v>0</v>
      </c>
      <c r="R21" s="582">
        <f t="shared" si="5"/>
        <v>0</v>
      </c>
      <c r="T21" s="584">
        <f t="shared" si="6"/>
        <v>0</v>
      </c>
    </row>
    <row r="22" spans="3:22" ht="18" customHeight="1">
      <c r="C22" s="6">
        <v>1</v>
      </c>
      <c r="D22" s="578" t="s">
        <v>718</v>
      </c>
      <c r="E22" s="579" t="s">
        <v>718</v>
      </c>
      <c r="F22" s="580" t="s">
        <v>377</v>
      </c>
      <c r="G22" s="579" t="s">
        <v>719</v>
      </c>
      <c r="H22" s="879">
        <v>2042283617</v>
      </c>
      <c r="I22" s="581">
        <v>0</v>
      </c>
      <c r="J22" s="581">
        <v>0</v>
      </c>
      <c r="K22" s="582">
        <f t="shared" si="4"/>
        <v>2042283617</v>
      </c>
      <c r="M22" s="583">
        <f>SUMIF('CF.2'!$H$5:$H$24,'CF.1'!E22,'CF.2'!$J$5:$J$24)-SUMIF('CF.2'!$K$5:$K$24,'CF.1'!E22,'CF.2'!$M$5:$M$24)</f>
        <v>0</v>
      </c>
      <c r="N22" s="581">
        <f>SUMIF('CF.2'!$H$30:$H$59,'CF.1'!E22,'CF.2'!$J$30:$J$59)+SUMIF('CF.2'!$K$30:$K$59,'CF.1'!E22,'CF.2'!$M$30:$M$59)</f>
        <v>0</v>
      </c>
      <c r="O22" s="581">
        <f>SUMIF('CF.2'!$H$64:$H$98,'CF.1'!E22,'CF.2'!$J$64:$J$98)+SUMIF('CF.2'!$K$64:$K$98,'CF.1'!E22,'CF.2'!$M$64:$M$98)</f>
        <v>0</v>
      </c>
      <c r="P22" s="581">
        <f>SUMIF('CF.2'!$H$102:$H$108,'CF.1'!E22,'CF.2'!$J$102:$J$108)+SUMIF('CF.2'!$K$102:$K$108,'CF.1'!E22,'CF.2'!$M$102:$M$108)</f>
        <v>0</v>
      </c>
      <c r="Q22" s="581">
        <f>SUMIF('CF.2'!$H$113:$H$121,'CF.1'!E22,'CF.2'!$J$113:$J$121)+SUMIF('CF.2'!$K$113:$K$121,'CF.1'!E22,'CF.2'!$M$113:$M$121)</f>
        <v>-2042283617</v>
      </c>
      <c r="R22" s="582">
        <f t="shared" si="5"/>
        <v>-2042283617</v>
      </c>
      <c r="T22" s="584">
        <f t="shared" si="6"/>
        <v>0</v>
      </c>
    </row>
    <row r="23" spans="3:22" ht="18" customHeight="1">
      <c r="C23" s="6">
        <v>1</v>
      </c>
      <c r="D23" s="578" t="s">
        <v>720</v>
      </c>
      <c r="E23" s="579" t="s">
        <v>720</v>
      </c>
      <c r="F23" s="580"/>
      <c r="G23" s="579" t="s">
        <v>721</v>
      </c>
      <c r="H23" s="581">
        <v>0</v>
      </c>
      <c r="I23" s="581">
        <v>0</v>
      </c>
      <c r="J23" s="581">
        <v>0</v>
      </c>
      <c r="K23" s="582">
        <f t="shared" si="4"/>
        <v>0</v>
      </c>
      <c r="M23" s="583">
        <f>SUMIF('CF.2'!$H$5:$H$24,'CF.1'!E23,'CF.2'!$J$5:$J$24)-SUMIF('CF.2'!$K$5:$K$24,'CF.1'!E23,'CF.2'!$M$5:$M$24)</f>
        <v>0</v>
      </c>
      <c r="N23" s="581">
        <f>SUMIF('CF.2'!$H$30:$H$59,'CF.1'!E23,'CF.2'!$J$30:$J$59)+SUMIF('CF.2'!$K$30:$K$59,'CF.1'!E23,'CF.2'!$M$30:$M$59)</f>
        <v>0</v>
      </c>
      <c r="O23" s="581">
        <f>SUMIF('CF.2'!$H$64:$H$98,'CF.1'!E23,'CF.2'!$J$64:$J$98)+SUMIF('CF.2'!$K$64:$K$98,'CF.1'!E23,'CF.2'!$M$64:$M$98)</f>
        <v>0</v>
      </c>
      <c r="P23" s="581">
        <f>SUMIF('CF.2'!$H$102:$H$108,'CF.1'!E23,'CF.2'!$J$102:$J$108)+SUMIF('CF.2'!$K$102:$K$108,'CF.1'!E23,'CF.2'!$M$102:$M$108)</f>
        <v>0</v>
      </c>
      <c r="Q23" s="581">
        <f>SUMIF('CF.2'!$H$113:$H$121,'CF.1'!E23,'CF.2'!$J$113:$J$121)+SUMIF('CF.2'!$K$113:$K$121,'CF.1'!E23,'CF.2'!$M$113:$M$121)</f>
        <v>0</v>
      </c>
      <c r="R23" s="582">
        <f t="shared" si="5"/>
        <v>0</v>
      </c>
      <c r="T23" s="584">
        <f t="shared" si="6"/>
        <v>0</v>
      </c>
    </row>
    <row r="24" spans="3:22" ht="18" customHeight="1">
      <c r="C24" s="6">
        <v>1</v>
      </c>
      <c r="D24" s="578" t="s">
        <v>722</v>
      </c>
      <c r="E24" s="579" t="s">
        <v>722</v>
      </c>
      <c r="F24" s="580"/>
      <c r="G24" s="579" t="s">
        <v>723</v>
      </c>
      <c r="H24" s="581">
        <v>0</v>
      </c>
      <c r="I24" s="581">
        <v>0</v>
      </c>
      <c r="J24" s="581">
        <v>0</v>
      </c>
      <c r="K24" s="582">
        <f t="shared" si="4"/>
        <v>0</v>
      </c>
      <c r="M24" s="583">
        <f>SUMIF('CF.2'!$H$5:$H$24,'CF.1'!E24,'CF.2'!$J$5:$J$24)-SUMIF('CF.2'!$K$5:$K$24,'CF.1'!E24,'CF.2'!$M$5:$M$24)</f>
        <v>0</v>
      </c>
      <c r="N24" s="581">
        <f>SUMIF('CF.2'!$H$30:$H$59,'CF.1'!E24,'CF.2'!$J$30:$J$59)+SUMIF('CF.2'!$K$30:$K$59,'CF.1'!E24,'CF.2'!$M$30:$M$59)</f>
        <v>0</v>
      </c>
      <c r="O24" s="581">
        <f>SUMIF('CF.2'!$H$64:$H$98,'CF.1'!E24,'CF.2'!$J$64:$J$98)+SUMIF('CF.2'!$K$64:$K$98,'CF.1'!E24,'CF.2'!$M$64:$M$98)</f>
        <v>0</v>
      </c>
      <c r="P24" s="581">
        <f>SUMIF('CF.2'!$H$102:$H$108,'CF.1'!E24,'CF.2'!$J$102:$J$108)+SUMIF('CF.2'!$K$102:$K$108,'CF.1'!E24,'CF.2'!$M$102:$M$108)</f>
        <v>0</v>
      </c>
      <c r="Q24" s="581">
        <f>SUMIF('CF.2'!$H$113:$H$121,'CF.1'!E24,'CF.2'!$J$113:$J$121)+SUMIF('CF.2'!$K$113:$K$121,'CF.1'!E24,'CF.2'!$M$113:$M$121)</f>
        <v>0</v>
      </c>
      <c r="R24" s="582">
        <f t="shared" si="5"/>
        <v>0</v>
      </c>
      <c r="T24" s="584">
        <f t="shared" si="6"/>
        <v>0</v>
      </c>
    </row>
    <row r="25" spans="3:22" ht="18" customHeight="1">
      <c r="C25" s="6">
        <v>1</v>
      </c>
      <c r="D25" s="578" t="s">
        <v>724</v>
      </c>
      <c r="E25" s="579" t="s">
        <v>724</v>
      </c>
      <c r="F25" s="580"/>
      <c r="G25" s="579" t="s">
        <v>725</v>
      </c>
      <c r="H25" s="581">
        <v>0</v>
      </c>
      <c r="I25" s="581">
        <v>0</v>
      </c>
      <c r="J25" s="581">
        <v>0</v>
      </c>
      <c r="K25" s="582">
        <f t="shared" si="4"/>
        <v>0</v>
      </c>
      <c r="M25" s="583">
        <f>SUMIF('CF.2'!$H$5:$H$24,'CF.1'!E25,'CF.2'!$J$5:$J$24)-SUMIF('CF.2'!$K$5:$K$24,'CF.1'!E25,'CF.2'!$M$5:$M$24)</f>
        <v>0</v>
      </c>
      <c r="N25" s="581">
        <f>SUMIF('CF.2'!$H$30:$H$59,'CF.1'!E25,'CF.2'!$J$30:$J$59)+SUMIF('CF.2'!$K$30:$K$59,'CF.1'!E25,'CF.2'!$M$30:$M$59)</f>
        <v>0</v>
      </c>
      <c r="O25" s="581">
        <f>SUMIF('CF.2'!$H$64:$H$98,'CF.1'!E25,'CF.2'!$J$64:$J$98)+SUMIF('CF.2'!$K$64:$K$98,'CF.1'!E25,'CF.2'!$M$64:$M$98)</f>
        <v>0</v>
      </c>
      <c r="P25" s="581">
        <f>SUMIF('CF.2'!$H$102:$H$108,'CF.1'!E25,'CF.2'!$J$102:$J$108)+SUMIF('CF.2'!$K$102:$K$108,'CF.1'!E25,'CF.2'!$M$102:$M$108)</f>
        <v>0</v>
      </c>
      <c r="Q25" s="581">
        <f>SUMIF('CF.2'!$H$113:$H$121,'CF.1'!E25,'CF.2'!$J$113:$J$121)+SUMIF('CF.2'!$K$113:$K$121,'CF.1'!E25,'CF.2'!$M$113:$M$121)</f>
        <v>0</v>
      </c>
      <c r="R25" s="582">
        <f t="shared" si="5"/>
        <v>0</v>
      </c>
      <c r="T25" s="584">
        <f t="shared" si="6"/>
        <v>0</v>
      </c>
    </row>
    <row r="26" spans="3:22" ht="18" customHeight="1">
      <c r="C26" s="6">
        <v>1</v>
      </c>
      <c r="D26" s="578" t="s">
        <v>726</v>
      </c>
      <c r="E26" s="579" t="s">
        <v>726</v>
      </c>
      <c r="F26" s="580"/>
      <c r="G26" s="579" t="s">
        <v>727</v>
      </c>
      <c r="H26" s="581">
        <v>0</v>
      </c>
      <c r="I26" s="581">
        <v>0</v>
      </c>
      <c r="J26" s="581">
        <v>0</v>
      </c>
      <c r="K26" s="582">
        <f t="shared" si="4"/>
        <v>0</v>
      </c>
      <c r="M26" s="583">
        <f>SUMIF('CF.2'!$H$5:$H$24,'CF.1'!E26,'CF.2'!$J$5:$J$24)-SUMIF('CF.2'!$K$5:$K$24,'CF.1'!E26,'CF.2'!$M$5:$M$24)</f>
        <v>0</v>
      </c>
      <c r="N26" s="581">
        <f>SUMIF('CF.2'!$H$30:$H$59,'CF.1'!E26,'CF.2'!$J$30:$J$59)+SUMIF('CF.2'!$K$30:$K$59,'CF.1'!E26,'CF.2'!$M$30:$M$59)</f>
        <v>0</v>
      </c>
      <c r="O26" s="581">
        <f>SUMIF('CF.2'!$H$64:$H$98,'CF.1'!E26,'CF.2'!$J$64:$J$98)+SUMIF('CF.2'!$K$64:$K$98,'CF.1'!E26,'CF.2'!$M$64:$M$98)</f>
        <v>0</v>
      </c>
      <c r="P26" s="581">
        <f>SUMIF('CF.2'!$H$102:$H$108,'CF.1'!E26,'CF.2'!$J$102:$J$108)+SUMIF('CF.2'!$K$102:$K$108,'CF.1'!E26,'CF.2'!$M$102:$M$108)</f>
        <v>0</v>
      </c>
      <c r="Q26" s="581">
        <f>SUMIF('CF.2'!$H$113:$H$121,'CF.1'!E26,'CF.2'!$J$113:$J$121)+SUMIF('CF.2'!$K$113:$K$121,'CF.1'!E26,'CF.2'!$M$113:$M$121)</f>
        <v>0</v>
      </c>
      <c r="R26" s="582">
        <f t="shared" si="5"/>
        <v>0</v>
      </c>
      <c r="T26" s="584">
        <f t="shared" si="6"/>
        <v>0</v>
      </c>
    </row>
    <row r="27" spans="3:22" ht="18" customHeight="1">
      <c r="C27" s="6">
        <v>1</v>
      </c>
      <c r="D27" s="578" t="s">
        <v>728</v>
      </c>
      <c r="E27" s="579" t="s">
        <v>728</v>
      </c>
      <c r="F27" s="580"/>
      <c r="G27" s="579" t="s">
        <v>729</v>
      </c>
      <c r="H27" s="581">
        <v>0</v>
      </c>
      <c r="I27" s="581">
        <v>0</v>
      </c>
      <c r="J27" s="581">
        <v>0</v>
      </c>
      <c r="K27" s="582">
        <f t="shared" si="4"/>
        <v>0</v>
      </c>
      <c r="M27" s="583">
        <f>SUMIF('CF.2'!$H$5:$H$24,'CF.1'!E27,'CF.2'!$J$5:$J$24)-SUMIF('CF.2'!$K$5:$K$24,'CF.1'!E27,'CF.2'!$M$5:$M$24)</f>
        <v>0</v>
      </c>
      <c r="N27" s="581">
        <f>SUMIF('CF.2'!$H$30:$H$59,'CF.1'!E27,'CF.2'!$J$30:$J$59)+SUMIF('CF.2'!$K$30:$K$59,'CF.1'!E27,'CF.2'!$M$30:$M$59)</f>
        <v>0</v>
      </c>
      <c r="O27" s="581">
        <f>SUMIF('CF.2'!$H$64:$H$98,'CF.1'!E27,'CF.2'!$J$64:$J$98)+SUMIF('CF.2'!$K$64:$K$98,'CF.1'!E27,'CF.2'!$M$64:$M$98)</f>
        <v>0</v>
      </c>
      <c r="P27" s="581">
        <f>SUMIF('CF.2'!$H$102:$H$108,'CF.1'!E27,'CF.2'!$J$102:$J$108)+SUMIF('CF.2'!$K$102:$K$108,'CF.1'!E27,'CF.2'!$M$102:$M$108)</f>
        <v>0</v>
      </c>
      <c r="Q27" s="581">
        <f>SUMIF('CF.2'!$H$113:$H$121,'CF.1'!E27,'CF.2'!$J$113:$J$121)+SUMIF('CF.2'!$K$113:$K$121,'CF.1'!E27,'CF.2'!$M$113:$M$121)</f>
        <v>0</v>
      </c>
      <c r="R27" s="582">
        <f t="shared" si="5"/>
        <v>0</v>
      </c>
      <c r="T27" s="584">
        <f t="shared" si="6"/>
        <v>0</v>
      </c>
    </row>
    <row r="28" spans="3:22" ht="18" customHeight="1">
      <c r="C28" s="6">
        <v>1</v>
      </c>
      <c r="D28" s="578" t="s">
        <v>730</v>
      </c>
      <c r="E28" s="579" t="s">
        <v>730</v>
      </c>
      <c r="F28" s="580"/>
      <c r="G28" s="579" t="s">
        <v>731</v>
      </c>
      <c r="H28" s="581">
        <v>0</v>
      </c>
      <c r="I28" s="581">
        <v>0</v>
      </c>
      <c r="J28" s="581">
        <v>0</v>
      </c>
      <c r="K28" s="582">
        <f t="shared" si="4"/>
        <v>0</v>
      </c>
      <c r="M28" s="583">
        <f>SUMIF('CF.2'!$H$5:$H$24,'CF.1'!E28,'CF.2'!$J$5:$J$24)-SUMIF('CF.2'!$K$5:$K$24,'CF.1'!E28,'CF.2'!$M$5:$M$24)</f>
        <v>0</v>
      </c>
      <c r="N28" s="581">
        <f>SUMIF('CF.2'!$H$30:$H$59,'CF.1'!E28,'CF.2'!$J$30:$J$59)+SUMIF('CF.2'!$K$30:$K$59,'CF.1'!E28,'CF.2'!$M$30:$M$59)</f>
        <v>0</v>
      </c>
      <c r="O28" s="581">
        <f>SUMIF('CF.2'!$H$64:$H$98,'CF.1'!E28,'CF.2'!$J$64:$J$98)+SUMIF('CF.2'!$K$64:$K$98,'CF.1'!E28,'CF.2'!$M$64:$M$98)</f>
        <v>0</v>
      </c>
      <c r="P28" s="581">
        <f>SUMIF('CF.2'!$H$102:$H$108,'CF.1'!E28,'CF.2'!$J$102:$J$108)+SUMIF('CF.2'!$K$102:$K$108,'CF.1'!E28,'CF.2'!$M$102:$M$108)</f>
        <v>0</v>
      </c>
      <c r="Q28" s="581">
        <f>SUMIF('CF.2'!$H$113:$H$121,'CF.1'!E28,'CF.2'!$J$113:$J$121)+SUMIF('CF.2'!$K$113:$K$121,'CF.1'!E28,'CF.2'!$M$113:$M$121)</f>
        <v>0</v>
      </c>
      <c r="R28" s="582">
        <f t="shared" si="5"/>
        <v>0</v>
      </c>
      <c r="T28" s="584">
        <f t="shared" si="6"/>
        <v>0</v>
      </c>
    </row>
    <row r="29" spans="3:22" ht="18" customHeight="1">
      <c r="C29" s="6">
        <v>1</v>
      </c>
      <c r="D29" s="578" t="s">
        <v>732</v>
      </c>
      <c r="E29" s="579" t="s">
        <v>732</v>
      </c>
      <c r="F29" s="580" t="s">
        <v>688</v>
      </c>
      <c r="G29" s="579" t="s">
        <v>688</v>
      </c>
      <c r="H29" s="581">
        <v>1000</v>
      </c>
      <c r="I29" s="581">
        <v>0</v>
      </c>
      <c r="J29" s="581">
        <v>0</v>
      </c>
      <c r="K29" s="582">
        <f t="shared" si="4"/>
        <v>1000</v>
      </c>
      <c r="M29" s="583">
        <f>SUMIF('CF.2'!$H$5:$H$24,'CF.1'!E29,'CF.2'!$J$5:$J$24)-SUMIF('CF.2'!$K$5:$K$24,'CF.1'!E29,'CF.2'!$M$5:$M$24)</f>
        <v>0</v>
      </c>
      <c r="N29" s="581">
        <f>SUMIF('CF.2'!$H$30:$H$59,'CF.1'!E29,'CF.2'!$J$30:$J$59)+SUMIF('CF.2'!$K$30:$K$59,'CF.1'!E29,'CF.2'!$M$30:$M$59)</f>
        <v>0</v>
      </c>
      <c r="O29" s="581">
        <f>SUMIF('CF.2'!$H$64:$H$98,'CF.1'!E29,'CF.2'!$J$64:$J$98)+SUMIF('CF.2'!$K$64:$K$98,'CF.1'!E29,'CF.2'!$M$64:$M$98)</f>
        <v>0</v>
      </c>
      <c r="P29" s="581">
        <f>SUMIF('CF.2'!$H$102:$H$108,'CF.1'!E29,'CF.2'!$J$102:$J$108)+SUMIF('CF.2'!$K$102:$K$108,'CF.1'!E29,'CF.2'!$M$102:$M$108)</f>
        <v>0</v>
      </c>
      <c r="Q29" s="581">
        <f>SUMIF('CF.2'!$H$113:$H$121,'CF.1'!E29,'CF.2'!$J$113:$J$121)+SUMIF('CF.2'!$K$113:$K$121,'CF.1'!E29,'CF.2'!$M$113:$M$121)</f>
        <v>0</v>
      </c>
      <c r="R29" s="582">
        <f t="shared" si="5"/>
        <v>0</v>
      </c>
      <c r="T29" s="584">
        <f t="shared" si="6"/>
        <v>1000</v>
      </c>
    </row>
    <row r="30" spans="3:22" ht="18" customHeight="1">
      <c r="C30" s="6">
        <v>1</v>
      </c>
      <c r="D30" s="578" t="s">
        <v>733</v>
      </c>
      <c r="E30" s="579" t="s">
        <v>733</v>
      </c>
      <c r="F30" s="580" t="s">
        <v>734</v>
      </c>
      <c r="G30" s="579" t="s">
        <v>734</v>
      </c>
      <c r="H30" s="581">
        <v>0</v>
      </c>
      <c r="I30" s="581">
        <v>0</v>
      </c>
      <c r="J30" s="581">
        <v>0</v>
      </c>
      <c r="K30" s="582">
        <f t="shared" si="4"/>
        <v>0</v>
      </c>
      <c r="M30" s="583">
        <f>SUMIF('CF.2'!$H$5:$H$24,'CF.1'!E30,'CF.2'!$J$5:$J$24)-SUMIF('CF.2'!$K$5:$K$24,'CF.1'!E30,'CF.2'!$M$5:$M$24)</f>
        <v>0</v>
      </c>
      <c r="N30" s="581">
        <f>SUMIF('CF.2'!$H$30:$H$59,'CF.1'!E30,'CF.2'!$J$30:$J$59)+SUMIF('CF.2'!$K$30:$K$59,'CF.1'!E30,'CF.2'!$M$30:$M$59)</f>
        <v>0</v>
      </c>
      <c r="O30" s="581">
        <f>SUMIF('CF.2'!$H$64:$H$98,'CF.1'!E30,'CF.2'!$J$64:$J$98)+SUMIF('CF.2'!$K$64:$K$98,'CF.1'!E30,'CF.2'!$M$64:$M$98)</f>
        <v>0</v>
      </c>
      <c r="P30" s="581">
        <f>SUMIF('CF.2'!$H$102:$H$108,'CF.1'!E30,'CF.2'!$J$102:$J$108)+SUMIF('CF.2'!$K$102:$K$108,'CF.1'!E30,'CF.2'!$M$102:$M$108)</f>
        <v>0</v>
      </c>
      <c r="Q30" s="581">
        <f>SUMIF('CF.2'!$H$113:$H$121,'CF.1'!E30,'CF.2'!$J$113:$J$121)+SUMIF('CF.2'!$K$113:$K$121,'CF.1'!E30,'CF.2'!$M$113:$M$121)</f>
        <v>0</v>
      </c>
      <c r="R30" s="582">
        <f t="shared" si="5"/>
        <v>0</v>
      </c>
      <c r="T30" s="584">
        <f t="shared" si="6"/>
        <v>0</v>
      </c>
    </row>
    <row r="31" spans="3:22" ht="18" customHeight="1">
      <c r="C31" s="6">
        <v>1</v>
      </c>
      <c r="D31" s="578" t="s">
        <v>735</v>
      </c>
      <c r="E31" s="579" t="s">
        <v>735</v>
      </c>
      <c r="F31" s="580" t="s">
        <v>736</v>
      </c>
      <c r="G31" s="579" t="s">
        <v>736</v>
      </c>
      <c r="H31" s="581">
        <v>598158</v>
      </c>
      <c r="I31" s="581">
        <v>0</v>
      </c>
      <c r="J31" s="581">
        <v>0</v>
      </c>
      <c r="K31" s="582">
        <f t="shared" si="4"/>
        <v>598158</v>
      </c>
      <c r="M31" s="583">
        <f>SUMIF('CF.2'!$H$5:$H$24,'CF.1'!E31,'CF.2'!$J$5:$J$24)-SUMIF('CF.2'!$K$5:$K$24,'CF.1'!E31,'CF.2'!$M$5:$M$24)</f>
        <v>0</v>
      </c>
      <c r="N31" s="581">
        <f>SUMIF('CF.2'!$H$30:$H$59,'CF.1'!E31,'CF.2'!$J$30:$J$59)+SUMIF('CF.2'!$K$30:$K$59,'CF.1'!E31,'CF.2'!$M$30:$M$59)</f>
        <v>0</v>
      </c>
      <c r="O31" s="581">
        <f>SUMIF('CF.2'!$H$64:$H$98,'CF.1'!E31,'CF.2'!$J$64:$J$98)+SUMIF('CF.2'!$K$64:$K$98,'CF.1'!E31,'CF.2'!$M$64:$M$98)</f>
        <v>0</v>
      </c>
      <c r="P31" s="581">
        <f>SUMIF('CF.2'!$H$102:$H$108,'CF.1'!E31,'CF.2'!$J$102:$J$108)+SUMIF('CF.2'!$K$102:$K$108,'CF.1'!E31,'CF.2'!$M$102:$M$108)</f>
        <v>0</v>
      </c>
      <c r="Q31" s="581">
        <f>SUMIF('CF.2'!$H$113:$H$121,'CF.1'!E31,'CF.2'!$J$113:$J$121)+SUMIF('CF.2'!$K$113:$K$121,'CF.1'!E31,'CF.2'!$M$113:$M$121)</f>
        <v>0</v>
      </c>
      <c r="R31" s="582">
        <f t="shared" si="5"/>
        <v>0</v>
      </c>
      <c r="T31" s="584">
        <f t="shared" si="6"/>
        <v>598158</v>
      </c>
    </row>
    <row r="32" spans="3:22" ht="18" customHeight="1">
      <c r="C32" s="6">
        <v>1</v>
      </c>
      <c r="D32" s="578" t="s">
        <v>737</v>
      </c>
      <c r="E32" s="579" t="s">
        <v>737</v>
      </c>
      <c r="F32" s="580" t="s">
        <v>482</v>
      </c>
      <c r="G32" s="579" t="s">
        <v>482</v>
      </c>
      <c r="H32" s="581">
        <v>0</v>
      </c>
      <c r="I32" s="581">
        <v>0</v>
      </c>
      <c r="J32" s="581">
        <v>0</v>
      </c>
      <c r="K32" s="582">
        <f t="shared" si="4"/>
        <v>0</v>
      </c>
      <c r="M32" s="583">
        <f>SUMIF('CF.2'!$H$5:$H$24,'CF.1'!E32,'CF.2'!$J$5:$J$24)-SUMIF('CF.2'!$K$5:$K$24,'CF.1'!E32,'CF.2'!$M$5:$M$24)</f>
        <v>0</v>
      </c>
      <c r="N32" s="581">
        <f>SUMIF('CF.2'!$H$30:$H$59,'CF.1'!E32,'CF.2'!$J$30:$J$59)+SUMIF('CF.2'!$K$30:$K$59,'CF.1'!E32,'CF.2'!$M$30:$M$59)</f>
        <v>0</v>
      </c>
      <c r="O32" s="581">
        <f>SUMIF('CF.2'!$H$64:$H$98,'CF.1'!E32,'CF.2'!$J$64:$J$98)+SUMIF('CF.2'!$K$64:$K$98,'CF.1'!E32,'CF.2'!$M$64:$M$98)</f>
        <v>0</v>
      </c>
      <c r="P32" s="581">
        <f>SUMIF('CF.2'!$H$102:$H$108,'CF.1'!E32,'CF.2'!$J$102:$J$108)+SUMIF('CF.2'!$K$102:$K$108,'CF.1'!E32,'CF.2'!$M$102:$M$108)</f>
        <v>0</v>
      </c>
      <c r="Q32" s="581">
        <f>SUMIF('CF.2'!$H$113:$H$121,'CF.1'!E32,'CF.2'!$J$113:$J$121)+SUMIF('CF.2'!$K$113:$K$121,'CF.1'!E32,'CF.2'!$M$113:$M$121)</f>
        <v>0</v>
      </c>
      <c r="R32" s="582">
        <f t="shared" si="5"/>
        <v>0</v>
      </c>
      <c r="T32" s="584">
        <f t="shared" si="6"/>
        <v>0</v>
      </c>
    </row>
    <row r="33" spans="3:20" ht="18" customHeight="1">
      <c r="C33" s="6">
        <v>1</v>
      </c>
      <c r="D33" s="578" t="s">
        <v>738</v>
      </c>
      <c r="E33" s="579" t="s">
        <v>738</v>
      </c>
      <c r="F33" s="580" t="s">
        <v>687</v>
      </c>
      <c r="G33" s="579" t="s">
        <v>687</v>
      </c>
      <c r="H33" s="581">
        <v>739928110</v>
      </c>
      <c r="I33" s="581">
        <v>0</v>
      </c>
      <c r="J33" s="581">
        <v>0</v>
      </c>
      <c r="K33" s="582">
        <f t="shared" si="4"/>
        <v>739928110</v>
      </c>
      <c r="M33" s="583">
        <f>SUMIF('CF.2'!$H$5:$H$24,'CF.1'!E33,'CF.2'!$J$5:$J$24)-SUMIF('CF.2'!$K$5:$K$24,'CF.1'!E33,'CF.2'!$M$5:$M$24)</f>
        <v>0</v>
      </c>
      <c r="N33" s="581">
        <f>SUMIF('CF.2'!$H$30:$H$59,'CF.1'!E33,'CF.2'!$J$30:$J$59)+SUMIF('CF.2'!$K$30:$K$59,'CF.1'!E33,'CF.2'!$M$30:$M$59)</f>
        <v>4808712105</v>
      </c>
      <c r="O33" s="581">
        <f>SUMIF('CF.2'!$H$64:$H$98,'CF.1'!E33,'CF.2'!$J$64:$J$98)+SUMIF('CF.2'!$K$64:$K$98,'CF.1'!E33,'CF.2'!$M$64:$M$98)</f>
        <v>0</v>
      </c>
      <c r="P33" s="581">
        <f>SUMIF('CF.2'!$H$102:$H$108,'CF.1'!E33,'CF.2'!$J$102:$J$108)+SUMIF('CF.2'!$K$102:$K$108,'CF.1'!E33,'CF.2'!$M$102:$M$108)</f>
        <v>0</v>
      </c>
      <c r="Q33" s="581">
        <f>SUMIF('CF.2'!$H$113:$H$121,'CF.1'!E33,'CF.2'!$J$113:$J$121)+SUMIF('CF.2'!$K$113:$K$121,'CF.1'!E33,'CF.2'!$M$113:$M$121)</f>
        <v>0</v>
      </c>
      <c r="R33" s="582">
        <f t="shared" si="5"/>
        <v>4808712105</v>
      </c>
      <c r="T33" s="584">
        <f t="shared" si="6"/>
        <v>5548640215</v>
      </c>
    </row>
    <row r="34" spans="3:20" ht="18" customHeight="1">
      <c r="C34" s="6">
        <v>1</v>
      </c>
      <c r="D34" s="578" t="s">
        <v>739</v>
      </c>
      <c r="E34" s="579" t="s">
        <v>739</v>
      </c>
      <c r="F34" s="580" t="s">
        <v>740</v>
      </c>
      <c r="G34" s="579" t="s">
        <v>740</v>
      </c>
      <c r="H34" s="581">
        <v>-1754370503</v>
      </c>
      <c r="I34" s="581">
        <v>102701042</v>
      </c>
      <c r="J34" s="581">
        <v>-471826555</v>
      </c>
      <c r="K34" s="582">
        <f t="shared" si="4"/>
        <v>-2123496016</v>
      </c>
      <c r="M34" s="583">
        <f>SUMIF('CF.2'!$H$5:$H$24,'CF.1'!E34,'CF.2'!$J$5:$J$24)-SUMIF('CF.2'!$K$5:$K$24,'CF.1'!E34,'CF.2'!$M$5:$M$24)</f>
        <v>0</v>
      </c>
      <c r="N34" s="581">
        <f>SUMIF('CF.2'!$H$30:$H$59,'CF.1'!E34,'CF.2'!$J$30:$J$59)+SUMIF('CF.2'!$K$30:$K$59,'CF.1'!E34,'CF.2'!$M$30:$M$59)</f>
        <v>0</v>
      </c>
      <c r="O34" s="581">
        <f>SUMIF('CF.2'!$H$64:$H$98,'CF.1'!E34,'CF.2'!$J$64:$J$98)+SUMIF('CF.2'!$K$64:$K$98,'CF.1'!E34,'CF.2'!$M$64:$M$98)</f>
        <v>0</v>
      </c>
      <c r="P34" s="581">
        <f>SUMIF('CF.2'!$H$102:$H$108,'CF.1'!E34,'CF.2'!$J$102:$J$108)+SUMIF('CF.2'!$K$102:$K$108,'CF.1'!E34,'CF.2'!$M$102:$M$108)</f>
        <v>0</v>
      </c>
      <c r="Q34" s="581">
        <f>SUMIF('CF.2'!$H$113:$H$121,'CF.1'!E34,'CF.2'!$J$113:$J$121)+SUMIF('CF.2'!$K$113:$K$121,'CF.1'!E34,'CF.2'!$M$113:$M$121)</f>
        <v>0</v>
      </c>
      <c r="R34" s="582">
        <f t="shared" si="5"/>
        <v>0</v>
      </c>
      <c r="T34" s="584">
        <f t="shared" si="6"/>
        <v>-2123496016</v>
      </c>
    </row>
    <row r="35" spans="3:20" ht="18" customHeight="1">
      <c r="C35" s="6">
        <v>1</v>
      </c>
      <c r="D35" s="578" t="s">
        <v>741</v>
      </c>
      <c r="E35" s="579" t="s">
        <v>741</v>
      </c>
      <c r="F35" s="580"/>
      <c r="G35" s="579" t="s">
        <v>742</v>
      </c>
      <c r="H35" s="581">
        <v>0</v>
      </c>
      <c r="I35" s="581">
        <v>0</v>
      </c>
      <c r="J35" s="581">
        <v>0</v>
      </c>
      <c r="K35" s="582">
        <f t="shared" si="4"/>
        <v>0</v>
      </c>
      <c r="M35" s="583">
        <f>SUMIF('CF.2'!$H$5:$H$24,'CF.1'!E35,'CF.2'!$J$5:$J$24)-SUMIF('CF.2'!$K$5:$K$24,'CF.1'!E35,'CF.2'!$M$5:$M$24)</f>
        <v>0</v>
      </c>
      <c r="N35" s="581">
        <f>SUMIF('CF.2'!$H$30:$H$59,'CF.1'!E35,'CF.2'!$J$30:$J$59)+SUMIF('CF.2'!$K$30:$K$59,'CF.1'!E35,'CF.2'!$M$30:$M$59)</f>
        <v>0</v>
      </c>
      <c r="O35" s="581">
        <f>SUMIF('CF.2'!$H$64:$H$98,'CF.1'!E35,'CF.2'!$J$64:$J$98)+SUMIF('CF.2'!$K$64:$K$98,'CF.1'!E35,'CF.2'!$M$64:$M$98)</f>
        <v>0</v>
      </c>
      <c r="P35" s="581">
        <f>SUMIF('CF.2'!$H$102:$H$108,'CF.1'!E35,'CF.2'!$J$102:$J$108)+SUMIF('CF.2'!$K$102:$K$108,'CF.1'!E35,'CF.2'!$M$102:$M$108)</f>
        <v>0</v>
      </c>
      <c r="Q35" s="581">
        <f>SUMIF('CF.2'!$H$113:$H$121,'CF.1'!E35,'CF.2'!$J$113:$J$121)+SUMIF('CF.2'!$K$113:$K$121,'CF.1'!E35,'CF.2'!$M$113:$M$121)</f>
        <v>0</v>
      </c>
      <c r="R35" s="582">
        <f t="shared" si="5"/>
        <v>0</v>
      </c>
      <c r="T35" s="584">
        <f t="shared" si="6"/>
        <v>0</v>
      </c>
    </row>
    <row r="36" spans="3:20" ht="18" customHeight="1">
      <c r="C36" s="6">
        <v>1</v>
      </c>
      <c r="D36" s="578" t="s">
        <v>743</v>
      </c>
      <c r="E36" s="579" t="s">
        <v>743</v>
      </c>
      <c r="F36" s="580"/>
      <c r="G36" s="579" t="s">
        <v>744</v>
      </c>
      <c r="H36" s="581">
        <v>0</v>
      </c>
      <c r="I36" s="581">
        <v>0</v>
      </c>
      <c r="J36" s="581">
        <v>0</v>
      </c>
      <c r="K36" s="582">
        <f t="shared" si="4"/>
        <v>0</v>
      </c>
      <c r="M36" s="583">
        <f>SUMIF('CF.2'!$H$5:$H$24,'CF.1'!E36,'CF.2'!$J$5:$J$24)-SUMIF('CF.2'!$K$5:$K$24,'CF.1'!E36,'CF.2'!$M$5:$M$24)</f>
        <v>0</v>
      </c>
      <c r="N36" s="581">
        <f>SUMIF('CF.2'!$H$30:$H$59,'CF.1'!E36,'CF.2'!$J$30:$J$59)+SUMIF('CF.2'!$K$30:$K$59,'CF.1'!E36,'CF.2'!$M$30:$M$59)</f>
        <v>0</v>
      </c>
      <c r="O36" s="581">
        <f>SUMIF('CF.2'!$H$64:$H$98,'CF.1'!E36,'CF.2'!$J$64:$J$98)+SUMIF('CF.2'!$K$64:$K$98,'CF.1'!E36,'CF.2'!$M$64:$M$98)</f>
        <v>0</v>
      </c>
      <c r="P36" s="581">
        <f>SUMIF('CF.2'!$H$102:$H$108,'CF.1'!E36,'CF.2'!$J$102:$J$108)+SUMIF('CF.2'!$K$102:$K$108,'CF.1'!E36,'CF.2'!$M$102:$M$108)</f>
        <v>0</v>
      </c>
      <c r="Q36" s="581">
        <f>SUMIF('CF.2'!$H$113:$H$121,'CF.1'!E36,'CF.2'!$J$113:$J$121)+SUMIF('CF.2'!$K$113:$K$121,'CF.1'!E36,'CF.2'!$M$113:$M$121)</f>
        <v>0</v>
      </c>
      <c r="R36" s="582">
        <f t="shared" si="5"/>
        <v>0</v>
      </c>
      <c r="T36" s="584">
        <f t="shared" si="6"/>
        <v>0</v>
      </c>
    </row>
    <row r="37" spans="3:20" ht="18" customHeight="1">
      <c r="C37" s="6">
        <v>1</v>
      </c>
      <c r="D37" s="578" t="s">
        <v>745</v>
      </c>
      <c r="E37" s="579" t="s">
        <v>745</v>
      </c>
      <c r="F37" s="580" t="s">
        <v>2136</v>
      </c>
      <c r="G37" s="579" t="s">
        <v>746</v>
      </c>
      <c r="H37" s="581">
        <v>0</v>
      </c>
      <c r="I37" s="581">
        <v>0</v>
      </c>
      <c r="J37" s="581">
        <v>1012691176</v>
      </c>
      <c r="K37" s="582">
        <f t="shared" si="4"/>
        <v>1012691176</v>
      </c>
      <c r="M37" s="583">
        <f>SUMIF('CF.2'!$H$5:$H$24,'CF.1'!E37,'CF.2'!$J$5:$J$24)-SUMIF('CF.2'!$K$5:$K$24,'CF.1'!E37,'CF.2'!$M$5:$M$24)</f>
        <v>0</v>
      </c>
      <c r="N37" s="581">
        <f>SUMIF('CF.2'!$H$30:$H$59,'CF.1'!E37,'CF.2'!$J$30:$J$59)+SUMIF('CF.2'!$K$30:$K$59,'CF.1'!E37,'CF.2'!$M$30:$M$59)</f>
        <v>0</v>
      </c>
      <c r="O37" s="581">
        <f>SUMIF('CF.2'!$H$64:$H$98,'CF.1'!E37,'CF.2'!$J$64:$J$98)+SUMIF('CF.2'!$K$64:$K$98,'CF.1'!E37,'CF.2'!$M$64:$M$98)</f>
        <v>0</v>
      </c>
      <c r="P37" s="581">
        <f>SUMIF('CF.2'!$H$102:$H$108,'CF.1'!E37,'CF.2'!$J$102:$J$108)+SUMIF('CF.2'!$K$102:$K$108,'CF.1'!E37,'CF.2'!$M$102:$M$108)</f>
        <v>0</v>
      </c>
      <c r="Q37" s="581">
        <f>SUMIF('CF.2'!$H$113:$H$121,'CF.1'!E37,'CF.2'!$J$113:$J$121)+SUMIF('CF.2'!$K$113:$K$121,'CF.1'!E37,'CF.2'!$M$113:$M$121)</f>
        <v>0</v>
      </c>
      <c r="R37" s="582">
        <f t="shared" si="5"/>
        <v>0</v>
      </c>
      <c r="T37" s="584">
        <f t="shared" si="6"/>
        <v>1012691176</v>
      </c>
    </row>
    <row r="38" spans="3:20" ht="18" customHeight="1">
      <c r="C38" s="6">
        <v>1</v>
      </c>
      <c r="D38" s="578" t="s">
        <v>747</v>
      </c>
      <c r="E38" s="579" t="s">
        <v>747</v>
      </c>
      <c r="F38" s="580"/>
      <c r="G38" s="579" t="s">
        <v>748</v>
      </c>
      <c r="H38" s="581">
        <v>0</v>
      </c>
      <c r="I38" s="581">
        <v>0</v>
      </c>
      <c r="J38" s="581">
        <v>0</v>
      </c>
      <c r="K38" s="582">
        <f t="shared" si="4"/>
        <v>0</v>
      </c>
      <c r="M38" s="583">
        <f>SUMIF('CF.2'!$H$5:$H$24,'CF.1'!E38,'CF.2'!$J$5:$J$24)-SUMIF('CF.2'!$K$5:$K$24,'CF.1'!E38,'CF.2'!$M$5:$M$24)</f>
        <v>0</v>
      </c>
      <c r="N38" s="581">
        <f>SUMIF('CF.2'!$H$30:$H$59,'CF.1'!E38,'CF.2'!$J$30:$J$59)+SUMIF('CF.2'!$K$30:$K$59,'CF.1'!E38,'CF.2'!$M$30:$M$59)</f>
        <v>0</v>
      </c>
      <c r="O38" s="581">
        <f>SUMIF('CF.2'!$H$64:$H$98,'CF.1'!E38,'CF.2'!$J$64:$J$98)+SUMIF('CF.2'!$K$64:$K$98,'CF.1'!E38,'CF.2'!$M$64:$M$98)</f>
        <v>0</v>
      </c>
      <c r="P38" s="581">
        <f>SUMIF('CF.2'!$H$102:$H$108,'CF.1'!E38,'CF.2'!$J$102:$J$108)+SUMIF('CF.2'!$K$102:$K$108,'CF.1'!E38,'CF.2'!$M$102:$M$108)</f>
        <v>0</v>
      </c>
      <c r="Q38" s="581">
        <f>SUMIF('CF.2'!$H$113:$H$121,'CF.1'!E38,'CF.2'!$J$113:$J$121)+SUMIF('CF.2'!$K$113:$K$121,'CF.1'!E38,'CF.2'!$M$113:$M$121)</f>
        <v>0</v>
      </c>
      <c r="R38" s="582">
        <f t="shared" si="5"/>
        <v>0</v>
      </c>
      <c r="T38" s="584">
        <f t="shared" si="6"/>
        <v>0</v>
      </c>
    </row>
    <row r="39" spans="3:20" ht="18" customHeight="1">
      <c r="C39" s="6">
        <v>1</v>
      </c>
      <c r="D39" s="578" t="s">
        <v>749</v>
      </c>
      <c r="E39" s="579" t="s">
        <v>749</v>
      </c>
      <c r="F39" s="580"/>
      <c r="G39" s="579" t="s">
        <v>750</v>
      </c>
      <c r="H39" s="581">
        <v>0</v>
      </c>
      <c r="I39" s="581">
        <v>0</v>
      </c>
      <c r="J39" s="581">
        <v>0</v>
      </c>
      <c r="K39" s="582">
        <f t="shared" si="4"/>
        <v>0</v>
      </c>
      <c r="M39" s="583">
        <f>SUMIF('CF.2'!$H$5:$H$24,'CF.1'!E39,'CF.2'!$J$5:$J$24)-SUMIF('CF.2'!$K$5:$K$24,'CF.1'!E39,'CF.2'!$M$5:$M$24)</f>
        <v>0</v>
      </c>
      <c r="N39" s="581">
        <f>SUMIF('CF.2'!$H$30:$H$59,'CF.1'!E39,'CF.2'!$J$30:$J$59)+SUMIF('CF.2'!$K$30:$K$59,'CF.1'!E39,'CF.2'!$M$30:$M$59)</f>
        <v>0</v>
      </c>
      <c r="O39" s="581">
        <f>SUMIF('CF.2'!$H$64:$H$98,'CF.1'!E39,'CF.2'!$J$64:$J$98)+SUMIF('CF.2'!$K$64:$K$98,'CF.1'!E39,'CF.2'!$M$64:$M$98)</f>
        <v>0</v>
      </c>
      <c r="P39" s="581">
        <f>SUMIF('CF.2'!$H$102:$H$108,'CF.1'!E39,'CF.2'!$J$102:$J$108)+SUMIF('CF.2'!$K$102:$K$108,'CF.1'!E39,'CF.2'!$M$102:$M$108)</f>
        <v>0</v>
      </c>
      <c r="Q39" s="581">
        <f>SUMIF('CF.2'!$H$113:$H$121,'CF.1'!E39,'CF.2'!$J$113:$J$121)+SUMIF('CF.2'!$K$113:$K$121,'CF.1'!E39,'CF.2'!$M$113:$M$121)</f>
        <v>0</v>
      </c>
      <c r="R39" s="582">
        <f t="shared" si="5"/>
        <v>0</v>
      </c>
      <c r="T39" s="584">
        <f t="shared" si="6"/>
        <v>0</v>
      </c>
    </row>
    <row r="40" spans="3:20" ht="18" customHeight="1">
      <c r="C40" s="6">
        <v>1</v>
      </c>
      <c r="D40" s="578" t="s">
        <v>751</v>
      </c>
      <c r="E40" s="579" t="s">
        <v>751</v>
      </c>
      <c r="F40" s="580"/>
      <c r="G40" s="579" t="s">
        <v>752</v>
      </c>
      <c r="H40" s="581">
        <v>0</v>
      </c>
      <c r="I40" s="581">
        <v>0</v>
      </c>
      <c r="J40" s="581">
        <v>0</v>
      </c>
      <c r="K40" s="582">
        <f t="shared" si="4"/>
        <v>0</v>
      </c>
      <c r="M40" s="583">
        <f>SUMIF('CF.2'!$H$5:$H$24,'CF.1'!E40,'CF.2'!$J$5:$J$24)-SUMIF('CF.2'!$K$5:$K$24,'CF.1'!E40,'CF.2'!$M$5:$M$24)</f>
        <v>0</v>
      </c>
      <c r="N40" s="581">
        <f>SUMIF('CF.2'!$H$30:$H$59,'CF.1'!E40,'CF.2'!$J$30:$J$59)+SUMIF('CF.2'!$K$30:$K$59,'CF.1'!E40,'CF.2'!$M$30:$M$59)</f>
        <v>0</v>
      </c>
      <c r="O40" s="581">
        <f>SUMIF('CF.2'!$H$64:$H$98,'CF.1'!E40,'CF.2'!$J$64:$J$98)+SUMIF('CF.2'!$K$64:$K$98,'CF.1'!E40,'CF.2'!$M$64:$M$98)</f>
        <v>0</v>
      </c>
      <c r="P40" s="581">
        <f>SUMIF('CF.2'!$H$102:$H$108,'CF.1'!E40,'CF.2'!$J$102:$J$108)+SUMIF('CF.2'!$K$102:$K$108,'CF.1'!E40,'CF.2'!$M$102:$M$108)</f>
        <v>0</v>
      </c>
      <c r="Q40" s="581">
        <f>SUMIF('CF.2'!$H$113:$H$121,'CF.1'!E40,'CF.2'!$J$113:$J$121)+SUMIF('CF.2'!$K$113:$K$121,'CF.1'!E40,'CF.2'!$M$113:$M$121)</f>
        <v>0</v>
      </c>
      <c r="R40" s="582">
        <f t="shared" si="5"/>
        <v>0</v>
      </c>
      <c r="T40" s="584">
        <f t="shared" si="6"/>
        <v>0</v>
      </c>
    </row>
    <row r="41" spans="3:20" ht="18" customHeight="1">
      <c r="C41" s="6">
        <v>1</v>
      </c>
      <c r="D41" s="578" t="s">
        <v>753</v>
      </c>
      <c r="E41" s="579" t="s">
        <v>753</v>
      </c>
      <c r="F41" s="580"/>
      <c r="G41" s="579" t="s">
        <v>754</v>
      </c>
      <c r="H41" s="581">
        <v>0</v>
      </c>
      <c r="I41" s="581">
        <v>0</v>
      </c>
      <c r="J41" s="581">
        <v>0</v>
      </c>
      <c r="K41" s="582">
        <f t="shared" si="4"/>
        <v>0</v>
      </c>
      <c r="M41" s="583">
        <f>SUMIF('CF.2'!$H$5:$H$24,'CF.1'!E41,'CF.2'!$J$5:$J$24)-SUMIF('CF.2'!$K$5:$K$24,'CF.1'!E41,'CF.2'!$M$5:$M$24)</f>
        <v>0</v>
      </c>
      <c r="N41" s="581">
        <f>SUMIF('CF.2'!$H$30:$H$59,'CF.1'!E41,'CF.2'!$J$30:$J$59)+SUMIF('CF.2'!$K$30:$K$59,'CF.1'!E41,'CF.2'!$M$30:$M$59)</f>
        <v>0</v>
      </c>
      <c r="O41" s="581">
        <f>SUMIF('CF.2'!$H$64:$H$98,'CF.1'!E41,'CF.2'!$J$64:$J$98)+SUMIF('CF.2'!$K$64:$K$98,'CF.1'!E41,'CF.2'!$M$64:$M$98)</f>
        <v>0</v>
      </c>
      <c r="P41" s="581">
        <f>SUMIF('CF.2'!$H$102:$H$108,'CF.1'!E41,'CF.2'!$J$102:$J$108)+SUMIF('CF.2'!$K$102:$K$108,'CF.1'!E41,'CF.2'!$M$102:$M$108)</f>
        <v>0</v>
      </c>
      <c r="Q41" s="581">
        <f>SUMIF('CF.2'!$H$113:$H$121,'CF.1'!E41,'CF.2'!$J$113:$J$121)+SUMIF('CF.2'!$K$113:$K$121,'CF.1'!E41,'CF.2'!$M$113:$M$121)</f>
        <v>0</v>
      </c>
      <c r="R41" s="582">
        <f t="shared" si="5"/>
        <v>0</v>
      </c>
      <c r="T41" s="584">
        <f t="shared" si="6"/>
        <v>0</v>
      </c>
    </row>
    <row r="42" spans="3:20" ht="18" customHeight="1">
      <c r="C42" s="6">
        <v>1</v>
      </c>
      <c r="D42" s="578" t="s">
        <v>755</v>
      </c>
      <c r="E42" s="579" t="s">
        <v>755</v>
      </c>
      <c r="F42" s="580"/>
      <c r="G42" s="579" t="s">
        <v>756</v>
      </c>
      <c r="H42" s="581">
        <v>0</v>
      </c>
      <c r="I42" s="581">
        <v>0</v>
      </c>
      <c r="J42" s="581">
        <v>0</v>
      </c>
      <c r="K42" s="582">
        <f t="shared" si="4"/>
        <v>0</v>
      </c>
      <c r="M42" s="583">
        <f>SUMIF('CF.2'!$H$5:$H$24,'CF.1'!E42,'CF.2'!$J$5:$J$24)-SUMIF('CF.2'!$K$5:$K$24,'CF.1'!E42,'CF.2'!$M$5:$M$24)</f>
        <v>0</v>
      </c>
      <c r="N42" s="581">
        <f>SUMIF('CF.2'!$H$30:$H$59,'CF.1'!E42,'CF.2'!$J$30:$J$59)+SUMIF('CF.2'!$K$30:$K$59,'CF.1'!E42,'CF.2'!$M$30:$M$59)</f>
        <v>0</v>
      </c>
      <c r="O42" s="581">
        <f>SUMIF('CF.2'!$H$64:$H$98,'CF.1'!E42,'CF.2'!$J$64:$J$98)+SUMIF('CF.2'!$K$64:$K$98,'CF.1'!E42,'CF.2'!$M$64:$M$98)</f>
        <v>0</v>
      </c>
      <c r="P42" s="581">
        <f>SUMIF('CF.2'!$H$102:$H$108,'CF.1'!E42,'CF.2'!$J$102:$J$108)+SUMIF('CF.2'!$K$102:$K$108,'CF.1'!E42,'CF.2'!$M$102:$M$108)</f>
        <v>0</v>
      </c>
      <c r="Q42" s="581">
        <f>SUMIF('CF.2'!$H$113:$H$121,'CF.1'!E42,'CF.2'!$J$113:$J$121)+SUMIF('CF.2'!$K$113:$K$121,'CF.1'!E42,'CF.2'!$M$113:$M$121)</f>
        <v>0</v>
      </c>
      <c r="R42" s="582">
        <f t="shared" si="5"/>
        <v>0</v>
      </c>
      <c r="T42" s="584">
        <f t="shared" si="6"/>
        <v>0</v>
      </c>
    </row>
    <row r="43" spans="3:20" ht="18" customHeight="1">
      <c r="C43" s="6">
        <v>1</v>
      </c>
      <c r="D43" s="578" t="s">
        <v>757</v>
      </c>
      <c r="E43" s="579" t="s">
        <v>757</v>
      </c>
      <c r="F43" s="580"/>
      <c r="G43" s="579" t="s">
        <v>758</v>
      </c>
      <c r="H43" s="581">
        <v>0</v>
      </c>
      <c r="I43" s="581">
        <v>0</v>
      </c>
      <c r="J43" s="581">
        <v>0</v>
      </c>
      <c r="K43" s="582">
        <f t="shared" ref="K43:K73" si="7">SUM(H43:J43)</f>
        <v>0</v>
      </c>
      <c r="M43" s="583">
        <f>SUMIF('CF.2'!$H$5:$H$24,'CF.1'!E43,'CF.2'!$J$5:$J$24)-SUMIF('CF.2'!$K$5:$K$24,'CF.1'!E43,'CF.2'!$M$5:$M$24)</f>
        <v>0</v>
      </c>
      <c r="N43" s="581">
        <f>SUMIF('CF.2'!$H$30:$H$59,'CF.1'!E43,'CF.2'!$J$30:$J$59)+SUMIF('CF.2'!$K$30:$K$59,'CF.1'!E43,'CF.2'!$M$30:$M$59)</f>
        <v>0</v>
      </c>
      <c r="O43" s="581">
        <f>SUMIF('CF.2'!$H$64:$H$98,'CF.1'!E43,'CF.2'!$J$64:$J$98)+SUMIF('CF.2'!$K$64:$K$98,'CF.1'!E43,'CF.2'!$M$64:$M$98)</f>
        <v>0</v>
      </c>
      <c r="P43" s="581">
        <f>SUMIF('CF.2'!$H$102:$H$108,'CF.1'!E43,'CF.2'!$J$102:$J$108)+SUMIF('CF.2'!$K$102:$K$108,'CF.1'!E43,'CF.2'!$M$102:$M$108)</f>
        <v>0</v>
      </c>
      <c r="Q43" s="581">
        <f>SUMIF('CF.2'!$H$113:$H$121,'CF.1'!E43,'CF.2'!$J$113:$J$121)+SUMIF('CF.2'!$K$113:$K$121,'CF.1'!E43,'CF.2'!$M$113:$M$121)</f>
        <v>0</v>
      </c>
      <c r="R43" s="582">
        <f t="shared" si="5"/>
        <v>0</v>
      </c>
      <c r="T43" s="584">
        <f t="shared" ref="T43:T73" si="8">ROUND(R43+K43,0)</f>
        <v>0</v>
      </c>
    </row>
    <row r="44" spans="3:20" ht="18" customHeight="1">
      <c r="C44" s="6">
        <v>1</v>
      </c>
      <c r="D44" s="578" t="s">
        <v>759</v>
      </c>
      <c r="E44" s="579" t="s">
        <v>759</v>
      </c>
      <c r="F44" s="580" t="s">
        <v>760</v>
      </c>
      <c r="G44" s="579" t="s">
        <v>760</v>
      </c>
      <c r="H44" s="581">
        <v>624260187</v>
      </c>
      <c r="I44" s="581">
        <v>0</v>
      </c>
      <c r="J44" s="581">
        <v>0</v>
      </c>
      <c r="K44" s="582">
        <f t="shared" si="7"/>
        <v>624260187</v>
      </c>
      <c r="M44" s="583">
        <f>SUMIF('CF.2'!$H$5:$H$24,'CF.1'!E44,'CF.2'!$J$5:$J$24)-SUMIF('CF.2'!$K$5:$K$24,'CF.1'!E44,'CF.2'!$M$5:$M$24)</f>
        <v>0</v>
      </c>
      <c r="N44" s="581">
        <f>SUMIF('CF.2'!$H$30:$H$59,'CF.1'!E44,'CF.2'!$J$30:$J$59)+SUMIF('CF.2'!$K$30:$K$59,'CF.1'!E44,'CF.2'!$M$30:$M$59)</f>
        <v>0</v>
      </c>
      <c r="O44" s="581">
        <f>SUMIF('CF.2'!$H$64:$H$98,'CF.1'!E44,'CF.2'!$J$64:$J$98)+SUMIF('CF.2'!$K$64:$K$98,'CF.1'!E44,'CF.2'!$M$64:$M$98)</f>
        <v>0</v>
      </c>
      <c r="P44" s="581">
        <f>SUMIF('CF.2'!$H$102:$H$108,'CF.1'!E44,'CF.2'!$J$102:$J$108)+SUMIF('CF.2'!$K$102:$K$108,'CF.1'!E44,'CF.2'!$M$102:$M$108)</f>
        <v>0</v>
      </c>
      <c r="Q44" s="581">
        <f>SUMIF('CF.2'!$H$113:$H$121,'CF.1'!E44,'CF.2'!$J$113:$J$121)+SUMIF('CF.2'!$K$113:$K$121,'CF.1'!E44,'CF.2'!$M$113:$M$121)</f>
        <v>0</v>
      </c>
      <c r="R44" s="582">
        <f t="shared" si="5"/>
        <v>0</v>
      </c>
      <c r="T44" s="584">
        <f t="shared" si="8"/>
        <v>624260187</v>
      </c>
    </row>
    <row r="45" spans="3:20" ht="18" customHeight="1">
      <c r="C45" s="6">
        <v>1</v>
      </c>
      <c r="D45" s="578" t="s">
        <v>761</v>
      </c>
      <c r="E45" s="579" t="s">
        <v>761</v>
      </c>
      <c r="F45" s="580"/>
      <c r="G45" s="579" t="s">
        <v>762</v>
      </c>
      <c r="H45" s="581">
        <v>0</v>
      </c>
      <c r="I45" s="581">
        <v>0</v>
      </c>
      <c r="J45" s="581">
        <v>0</v>
      </c>
      <c r="K45" s="582">
        <f t="shared" si="7"/>
        <v>0</v>
      </c>
      <c r="M45" s="583">
        <f>SUMIF('CF.2'!$H$5:$H$24,'CF.1'!E45,'CF.2'!$J$5:$J$24)-SUMIF('CF.2'!$K$5:$K$24,'CF.1'!E45,'CF.2'!$M$5:$M$24)</f>
        <v>0</v>
      </c>
      <c r="N45" s="581">
        <f>SUMIF('CF.2'!$H$30:$H$59,'CF.1'!E45,'CF.2'!$J$30:$J$59)+SUMIF('CF.2'!$K$30:$K$59,'CF.1'!E45,'CF.2'!$M$30:$M$59)</f>
        <v>0</v>
      </c>
      <c r="O45" s="581">
        <f>SUMIF('CF.2'!$H$64:$H$98,'CF.1'!E45,'CF.2'!$J$64:$J$98)+SUMIF('CF.2'!$K$64:$K$98,'CF.1'!E45,'CF.2'!$M$64:$M$98)</f>
        <v>0</v>
      </c>
      <c r="P45" s="581">
        <f>SUMIF('CF.2'!$H$102:$H$108,'CF.1'!E45,'CF.2'!$J$102:$J$108)+SUMIF('CF.2'!$K$102:$K$108,'CF.1'!E45,'CF.2'!$M$102:$M$108)</f>
        <v>0</v>
      </c>
      <c r="Q45" s="581">
        <f>SUMIF('CF.2'!$H$113:$H$121,'CF.1'!E45,'CF.2'!$J$113:$J$121)+SUMIF('CF.2'!$K$113:$K$121,'CF.1'!E45,'CF.2'!$M$113:$M$121)</f>
        <v>0</v>
      </c>
      <c r="R45" s="582">
        <f t="shared" si="5"/>
        <v>0</v>
      </c>
      <c r="T45" s="584">
        <f t="shared" si="8"/>
        <v>0</v>
      </c>
    </row>
    <row r="46" spans="3:20" ht="18" customHeight="1">
      <c r="C46" s="6">
        <v>1</v>
      </c>
      <c r="D46" s="578" t="s">
        <v>763</v>
      </c>
      <c r="E46" s="579" t="s">
        <v>763</v>
      </c>
      <c r="F46" s="580" t="s">
        <v>1884</v>
      </c>
      <c r="G46" s="579" t="s">
        <v>764</v>
      </c>
      <c r="H46" s="581">
        <v>4200000000</v>
      </c>
      <c r="I46" s="581">
        <v>0</v>
      </c>
      <c r="J46" s="581">
        <v>0</v>
      </c>
      <c r="K46" s="582">
        <f t="shared" si="7"/>
        <v>4200000000</v>
      </c>
      <c r="M46" s="583">
        <f>SUMIF('CF.2'!$H$5:$H$24,'CF.1'!E46,'CF.2'!$J$5:$J$24)-SUMIF('CF.2'!$K$5:$K$24,'CF.1'!E46,'CF.2'!$M$5:$M$24)</f>
        <v>0</v>
      </c>
      <c r="N46" s="581">
        <f>SUMIF('CF.2'!$H$30:$H$59,'CF.1'!E46,'CF.2'!$J$30:$J$59)+SUMIF('CF.2'!$K$30:$K$59,'CF.1'!E46,'CF.2'!$M$30:$M$59)</f>
        <v>0</v>
      </c>
      <c r="O46" s="581">
        <f>SUMIF('CF.2'!$H$64:$H$98,'CF.1'!E46,'CF.2'!$J$64:$J$98)+SUMIF('CF.2'!$K$64:$K$98,'CF.1'!E46,'CF.2'!$M$64:$M$98)</f>
        <v>0</v>
      </c>
      <c r="P46" s="581">
        <f>SUMIF('CF.2'!$H$102:$H$108,'CF.1'!E46,'CF.2'!$J$102:$J$108)+SUMIF('CF.2'!$K$102:$K$108,'CF.1'!E46,'CF.2'!$M$102:$M$108)</f>
        <v>0</v>
      </c>
      <c r="Q46" s="581">
        <f>SUMIF('CF.2'!$H$113:$H$121,'CF.1'!E46,'CF.2'!$J$113:$J$121)+SUMIF('CF.2'!$K$113:$K$121,'CF.1'!E46,'CF.2'!$M$113:$M$121)</f>
        <v>0</v>
      </c>
      <c r="R46" s="582">
        <f t="shared" si="5"/>
        <v>0</v>
      </c>
      <c r="T46" s="584">
        <f t="shared" si="8"/>
        <v>4200000000</v>
      </c>
    </row>
    <row r="47" spans="3:20" ht="18" customHeight="1">
      <c r="C47" s="6">
        <v>1</v>
      </c>
      <c r="D47" s="578" t="s">
        <v>765</v>
      </c>
      <c r="E47" s="579" t="s">
        <v>765</v>
      </c>
      <c r="F47" s="580"/>
      <c r="G47" s="579" t="s">
        <v>766</v>
      </c>
      <c r="H47" s="581">
        <v>0</v>
      </c>
      <c r="I47" s="581">
        <v>0</v>
      </c>
      <c r="J47" s="581">
        <v>0</v>
      </c>
      <c r="K47" s="582">
        <f t="shared" si="7"/>
        <v>0</v>
      </c>
      <c r="M47" s="583">
        <f>SUMIF('CF.2'!$H$5:$H$24,'CF.1'!E47,'CF.2'!$J$5:$J$24)-SUMIF('CF.2'!$K$5:$K$24,'CF.1'!E47,'CF.2'!$M$5:$M$24)</f>
        <v>0</v>
      </c>
      <c r="N47" s="581">
        <f>SUMIF('CF.2'!$H$30:$H$59,'CF.1'!E47,'CF.2'!$J$30:$J$59)+SUMIF('CF.2'!$K$30:$K$59,'CF.1'!E47,'CF.2'!$M$30:$M$59)</f>
        <v>0</v>
      </c>
      <c r="O47" s="581">
        <f>SUMIF('CF.2'!$H$64:$H$98,'CF.1'!E47,'CF.2'!$J$64:$J$98)+SUMIF('CF.2'!$K$64:$K$98,'CF.1'!E47,'CF.2'!$M$64:$M$98)</f>
        <v>0</v>
      </c>
      <c r="P47" s="581">
        <f>SUMIF('CF.2'!$H$102:$H$108,'CF.1'!E47,'CF.2'!$J$102:$J$108)+SUMIF('CF.2'!$K$102:$K$108,'CF.1'!E47,'CF.2'!$M$102:$M$108)</f>
        <v>0</v>
      </c>
      <c r="Q47" s="581">
        <f>SUMIF('CF.2'!$H$113:$H$121,'CF.1'!E47,'CF.2'!$J$113:$J$121)+SUMIF('CF.2'!$K$113:$K$121,'CF.1'!E47,'CF.2'!$M$113:$M$121)</f>
        <v>0</v>
      </c>
      <c r="R47" s="582">
        <f t="shared" si="5"/>
        <v>0</v>
      </c>
      <c r="T47" s="584">
        <f t="shared" si="8"/>
        <v>0</v>
      </c>
    </row>
    <row r="48" spans="3:20" ht="18" customHeight="1">
      <c r="C48" s="6">
        <v>1</v>
      </c>
      <c r="D48" s="578" t="s">
        <v>767</v>
      </c>
      <c r="E48" s="579" t="s">
        <v>1365</v>
      </c>
      <c r="F48" s="580" t="s">
        <v>1460</v>
      </c>
      <c r="G48" s="579" t="s">
        <v>1460</v>
      </c>
      <c r="H48" s="581">
        <v>-41664330</v>
      </c>
      <c r="I48" s="581">
        <v>0</v>
      </c>
      <c r="J48" s="581">
        <v>0</v>
      </c>
      <c r="K48" s="582">
        <f t="shared" si="7"/>
        <v>-41664330</v>
      </c>
      <c r="M48" s="583">
        <f>SUMIF('CF.2'!$H$5:$H$24,'CF.1'!E48,'CF.2'!$J$5:$J$24)-SUMIF('CF.2'!$K$5:$K$24,'CF.1'!E48,'CF.2'!$M$5:$M$24)</f>
        <v>0</v>
      </c>
      <c r="N48" s="581">
        <f>SUMIF('CF.2'!$H$30:$H$59,'CF.1'!E48,'CF.2'!$J$30:$J$59)+SUMIF('CF.2'!$K$30:$K$59,'CF.1'!E48,'CF.2'!$M$30:$M$59)</f>
        <v>0</v>
      </c>
      <c r="O48" s="581">
        <f>SUMIF('CF.2'!$H$64:$H$98,'CF.1'!E48,'CF.2'!$J$64:$J$98)+SUMIF('CF.2'!$K$64:$K$98,'CF.1'!E48,'CF.2'!$M$64:$M$98)</f>
        <v>0</v>
      </c>
      <c r="P48" s="581">
        <f>SUMIF('CF.2'!$H$102:$H$108,'CF.1'!E48,'CF.2'!$J$102:$J$108)+SUMIF('CF.2'!$K$102:$K$108,'CF.1'!E48,'CF.2'!$M$102:$M$108)</f>
        <v>0</v>
      </c>
      <c r="Q48" s="581">
        <f>SUMIF('CF.2'!$H$113:$H$121,'CF.1'!E48,'CF.2'!$J$113:$J$121)+SUMIF('CF.2'!$K$113:$K$121,'CF.1'!E48,'CF.2'!$M$113:$M$121)</f>
        <v>0</v>
      </c>
      <c r="R48" s="582">
        <f t="shared" si="5"/>
        <v>0</v>
      </c>
      <c r="T48" s="584">
        <f t="shared" si="8"/>
        <v>-41664330</v>
      </c>
    </row>
    <row r="49" spans="3:22" ht="18" customHeight="1">
      <c r="C49" s="6">
        <v>1</v>
      </c>
      <c r="D49" s="578" t="s">
        <v>767</v>
      </c>
      <c r="E49" s="579" t="s">
        <v>1366</v>
      </c>
      <c r="F49" s="580" t="s">
        <v>1459</v>
      </c>
      <c r="G49" s="579" t="s">
        <v>1459</v>
      </c>
      <c r="H49" s="581">
        <v>0</v>
      </c>
      <c r="I49" s="581">
        <v>0</v>
      </c>
      <c r="J49" s="581">
        <v>0</v>
      </c>
      <c r="K49" s="582">
        <f t="shared" si="7"/>
        <v>0</v>
      </c>
      <c r="M49" s="583">
        <f>SUMIF('CF.2'!$H$5:$H$24,'CF.1'!E49,'CF.2'!$J$5:$J$24)-SUMIF('CF.2'!$K$5:$K$24,'CF.1'!E49,'CF.2'!$M$5:$M$24)</f>
        <v>0</v>
      </c>
      <c r="N49" s="581">
        <f>SUMIF('CF.2'!$H$30:$H$59,'CF.1'!E49,'CF.2'!$J$30:$J$59)+SUMIF('CF.2'!$K$30:$K$59,'CF.1'!E49,'CF.2'!$M$30:$M$59)</f>
        <v>0</v>
      </c>
      <c r="O49" s="581">
        <f>SUMIF('CF.2'!$H$64:$H$98,'CF.1'!E49,'CF.2'!$J$64:$J$98)+SUMIF('CF.2'!$K$64:$K$98,'CF.1'!E49,'CF.2'!$M$64:$M$98)</f>
        <v>0</v>
      </c>
      <c r="P49" s="581">
        <f>SUMIF('CF.2'!$H$102:$H$108,'CF.1'!E49,'CF.2'!$J$102:$J$108)+SUMIF('CF.2'!$K$102:$K$108,'CF.1'!E49,'CF.2'!$M$102:$M$108)</f>
        <v>0</v>
      </c>
      <c r="Q49" s="581">
        <f>SUMIF('CF.2'!$H$113:$H$121,'CF.1'!E49,'CF.2'!$J$113:$J$121)+SUMIF('CF.2'!$K$113:$K$121,'CF.1'!E49,'CF.2'!$M$113:$M$121)</f>
        <v>0</v>
      </c>
      <c r="R49" s="582">
        <f t="shared" si="5"/>
        <v>0</v>
      </c>
      <c r="T49" s="584">
        <f t="shared" si="8"/>
        <v>0</v>
      </c>
    </row>
    <row r="50" spans="3:22" ht="18" customHeight="1">
      <c r="C50" s="6">
        <v>1</v>
      </c>
      <c r="D50" s="578" t="s">
        <v>767</v>
      </c>
      <c r="E50" s="579" t="s">
        <v>1491</v>
      </c>
      <c r="F50" s="580" t="s">
        <v>1462</v>
      </c>
      <c r="G50" s="579" t="s">
        <v>310</v>
      </c>
      <c r="H50" s="581">
        <v>15816486</v>
      </c>
      <c r="I50" s="581">
        <v>0</v>
      </c>
      <c r="J50" s="581">
        <v>0</v>
      </c>
      <c r="K50" s="582">
        <f t="shared" si="7"/>
        <v>15816486</v>
      </c>
      <c r="M50" s="583">
        <f>SUMIF('CF.2'!$H$5:$H$24,'CF.1'!E50,'CF.2'!$J$5:$J$24)-SUMIF('CF.2'!$K$5:$K$24,'CF.1'!E50,'CF.2'!$M$5:$M$24)</f>
        <v>0</v>
      </c>
      <c r="N50" s="581">
        <f>SUMIF('CF.2'!$H$30:$H$59,'CF.1'!E50,'CF.2'!$J$30:$J$59)+SUMIF('CF.2'!$K$30:$K$59,'CF.1'!E50,'CF.2'!$M$30:$M$59)</f>
        <v>0</v>
      </c>
      <c r="O50" s="581">
        <f>SUMIF('CF.2'!$H$64:$H$98,'CF.1'!E50,'CF.2'!$J$64:$J$98)+SUMIF('CF.2'!$K$64:$K$98,'CF.1'!E50,'CF.2'!$M$64:$M$98)</f>
        <v>0</v>
      </c>
      <c r="P50" s="581">
        <f>SUMIF('CF.2'!$H$102:$H$108,'CF.1'!E50,'CF.2'!$J$102:$J$108)+SUMIF('CF.2'!$K$102:$K$108,'CF.1'!E50,'CF.2'!$M$102:$M$108)</f>
        <v>0</v>
      </c>
      <c r="Q50" s="581">
        <f>SUMIF('CF.2'!$H$113:$H$121,'CF.1'!E50,'CF.2'!$J$113:$J$121)+SUMIF('CF.2'!$K$113:$K$121,'CF.1'!E50,'CF.2'!$M$113:$M$121)</f>
        <v>0</v>
      </c>
      <c r="R50" s="582">
        <f t="shared" si="5"/>
        <v>0</v>
      </c>
      <c r="T50" s="584">
        <f t="shared" si="8"/>
        <v>15816486</v>
      </c>
    </row>
    <row r="51" spans="3:22" ht="18" customHeight="1">
      <c r="C51" s="6">
        <v>1</v>
      </c>
      <c r="D51" s="578" t="s">
        <v>767</v>
      </c>
      <c r="E51" s="579" t="s">
        <v>1492</v>
      </c>
      <c r="F51" s="580"/>
      <c r="G51" s="579" t="s">
        <v>1358</v>
      </c>
      <c r="H51" s="581">
        <v>0</v>
      </c>
      <c r="I51" s="581">
        <v>0</v>
      </c>
      <c r="J51" s="581">
        <v>0</v>
      </c>
      <c r="K51" s="582">
        <f t="shared" si="7"/>
        <v>0</v>
      </c>
      <c r="M51" s="583">
        <f>SUMIF('CF.2'!$H$5:$H$24,'CF.1'!E51,'CF.2'!$J$5:$J$24)-SUMIF('CF.2'!$K$5:$K$24,'CF.1'!E51,'CF.2'!$M$5:$M$24)</f>
        <v>0</v>
      </c>
      <c r="N51" s="581">
        <f>SUMIF('CF.2'!$H$30:$H$59,'CF.1'!E51,'CF.2'!$J$30:$J$59)+SUMIF('CF.2'!$K$30:$K$59,'CF.1'!E51,'CF.2'!$M$30:$M$59)</f>
        <v>0</v>
      </c>
      <c r="O51" s="581">
        <f>SUMIF('CF.2'!$H$64:$H$98,'CF.1'!E51,'CF.2'!$J$64:$J$98)+SUMIF('CF.2'!$K$64:$K$98,'CF.1'!E51,'CF.2'!$M$64:$M$98)</f>
        <v>0</v>
      </c>
      <c r="P51" s="581">
        <f>SUMIF('CF.2'!$H$102:$H$108,'CF.1'!E51,'CF.2'!$J$102:$J$108)+SUMIF('CF.2'!$K$102:$K$108,'CF.1'!E51,'CF.2'!$M$102:$M$108)</f>
        <v>0</v>
      </c>
      <c r="Q51" s="581">
        <f>SUMIF('CF.2'!$H$113:$H$121,'CF.1'!E51,'CF.2'!$J$113:$J$121)+SUMIF('CF.2'!$K$113:$K$121,'CF.1'!E51,'CF.2'!$M$113:$M$121)</f>
        <v>0</v>
      </c>
      <c r="R51" s="582">
        <f t="shared" si="5"/>
        <v>0</v>
      </c>
      <c r="T51" s="584">
        <f t="shared" si="8"/>
        <v>0</v>
      </c>
    </row>
    <row r="52" spans="3:22" ht="18" customHeight="1">
      <c r="C52" s="6">
        <v>1</v>
      </c>
      <c r="D52" s="578" t="s">
        <v>768</v>
      </c>
      <c r="E52" s="579" t="s">
        <v>768</v>
      </c>
      <c r="F52" s="580"/>
      <c r="G52" s="579" t="s">
        <v>769</v>
      </c>
      <c r="H52" s="581">
        <v>0</v>
      </c>
      <c r="I52" s="581">
        <v>0</v>
      </c>
      <c r="J52" s="581">
        <v>0</v>
      </c>
      <c r="K52" s="582">
        <f t="shared" si="7"/>
        <v>0</v>
      </c>
      <c r="M52" s="583">
        <f>SUMIF('CF.2'!$H$5:$H$24,'CF.1'!E52,'CF.2'!$J$5:$J$24)-SUMIF('CF.2'!$K$5:$K$24,'CF.1'!E52,'CF.2'!$M$5:$M$24)</f>
        <v>0</v>
      </c>
      <c r="N52" s="581">
        <f>SUMIF('CF.2'!$H$30:$H$59,'CF.1'!E52,'CF.2'!$J$30:$J$59)+SUMIF('CF.2'!$K$30:$K$59,'CF.1'!E52,'CF.2'!$M$30:$M$59)</f>
        <v>0</v>
      </c>
      <c r="O52" s="581">
        <f>SUMIF('CF.2'!$H$64:$H$98,'CF.1'!E52,'CF.2'!$J$64:$J$98)+SUMIF('CF.2'!$K$64:$K$98,'CF.1'!E52,'CF.2'!$M$64:$M$98)</f>
        <v>0</v>
      </c>
      <c r="P52" s="581">
        <f>SUMIF('CF.2'!$H$102:$H$108,'CF.1'!E52,'CF.2'!$J$102:$J$108)+SUMIF('CF.2'!$K$102:$K$108,'CF.1'!E52,'CF.2'!$M$102:$M$108)</f>
        <v>0</v>
      </c>
      <c r="Q52" s="581">
        <f>SUMIF('CF.2'!$H$113:$H$121,'CF.1'!E52,'CF.2'!$J$113:$J$121)+SUMIF('CF.2'!$K$113:$K$121,'CF.1'!E52,'CF.2'!$M$113:$M$121)</f>
        <v>0</v>
      </c>
      <c r="R52" s="582">
        <f t="shared" si="5"/>
        <v>0</v>
      </c>
      <c r="T52" s="584">
        <f t="shared" si="8"/>
        <v>0</v>
      </c>
    </row>
    <row r="53" spans="3:22" ht="18" customHeight="1">
      <c r="C53" s="6">
        <v>1</v>
      </c>
      <c r="D53" s="578" t="s">
        <v>770</v>
      </c>
      <c r="E53" s="579" t="s">
        <v>770</v>
      </c>
      <c r="F53" s="580"/>
      <c r="G53" s="579" t="s">
        <v>771</v>
      </c>
      <c r="H53" s="581">
        <v>0</v>
      </c>
      <c r="I53" s="581">
        <v>0</v>
      </c>
      <c r="J53" s="581">
        <v>0</v>
      </c>
      <c r="K53" s="582">
        <f t="shared" si="7"/>
        <v>0</v>
      </c>
      <c r="M53" s="583">
        <f>SUMIF('CF.2'!$H$5:$H$24,'CF.1'!E53,'CF.2'!$J$5:$J$24)-SUMIF('CF.2'!$K$5:$K$24,'CF.1'!E53,'CF.2'!$M$5:$M$24)</f>
        <v>0</v>
      </c>
      <c r="N53" s="581">
        <f>SUMIF('CF.2'!$H$30:$H$59,'CF.1'!E53,'CF.2'!$J$30:$J$59)+SUMIF('CF.2'!$K$30:$K$59,'CF.1'!E53,'CF.2'!$M$30:$M$59)</f>
        <v>0</v>
      </c>
      <c r="O53" s="581">
        <f>SUMIF('CF.2'!$H$64:$H$98,'CF.1'!E53,'CF.2'!$J$64:$J$98)+SUMIF('CF.2'!$K$64:$K$98,'CF.1'!E53,'CF.2'!$M$64:$M$98)</f>
        <v>0</v>
      </c>
      <c r="P53" s="581">
        <f>SUMIF('CF.2'!$H$102:$H$108,'CF.1'!E53,'CF.2'!$J$102:$J$108)+SUMIF('CF.2'!$K$102:$K$108,'CF.1'!E53,'CF.2'!$M$102:$M$108)</f>
        <v>0</v>
      </c>
      <c r="Q53" s="581">
        <f>SUMIF('CF.2'!$H$113:$H$121,'CF.1'!E53,'CF.2'!$J$113:$J$121)+SUMIF('CF.2'!$K$113:$K$121,'CF.1'!E53,'CF.2'!$M$113:$M$121)</f>
        <v>0</v>
      </c>
      <c r="R53" s="582">
        <f t="shared" si="5"/>
        <v>0</v>
      </c>
      <c r="T53" s="584">
        <f t="shared" si="8"/>
        <v>0</v>
      </c>
    </row>
    <row r="54" spans="3:22" ht="18" customHeight="1">
      <c r="C54" s="6">
        <v>1</v>
      </c>
      <c r="D54" s="578" t="s">
        <v>772</v>
      </c>
      <c r="E54" s="579" t="s">
        <v>772</v>
      </c>
      <c r="F54" s="580"/>
      <c r="G54" s="579" t="s">
        <v>773</v>
      </c>
      <c r="H54" s="581">
        <v>0</v>
      </c>
      <c r="I54" s="581">
        <v>0</v>
      </c>
      <c r="J54" s="581">
        <v>0</v>
      </c>
      <c r="K54" s="582">
        <f t="shared" si="7"/>
        <v>0</v>
      </c>
      <c r="M54" s="583">
        <f>SUMIF('CF.2'!$H$5:$H$24,'CF.1'!E54,'CF.2'!$J$5:$J$24)-SUMIF('CF.2'!$K$5:$K$24,'CF.1'!E54,'CF.2'!$M$5:$M$24)</f>
        <v>0</v>
      </c>
      <c r="N54" s="581">
        <f>SUMIF('CF.2'!$H$30:$H$59,'CF.1'!E54,'CF.2'!$J$30:$J$59)+SUMIF('CF.2'!$K$30:$K$59,'CF.1'!E54,'CF.2'!$M$30:$M$59)</f>
        <v>0</v>
      </c>
      <c r="O54" s="581">
        <f>SUMIF('CF.2'!$H$64:$H$98,'CF.1'!E54,'CF.2'!$J$64:$J$98)+SUMIF('CF.2'!$K$64:$K$98,'CF.1'!E54,'CF.2'!$M$64:$M$98)</f>
        <v>0</v>
      </c>
      <c r="P54" s="581">
        <f>SUMIF('CF.2'!$H$102:$H$108,'CF.1'!E54,'CF.2'!$J$102:$J$108)+SUMIF('CF.2'!$K$102:$K$108,'CF.1'!E54,'CF.2'!$M$102:$M$108)</f>
        <v>0</v>
      </c>
      <c r="Q54" s="581">
        <f>SUMIF('CF.2'!$H$113:$H$121,'CF.1'!E54,'CF.2'!$J$113:$J$121)+SUMIF('CF.2'!$K$113:$K$121,'CF.1'!E54,'CF.2'!$M$113:$M$121)</f>
        <v>0</v>
      </c>
      <c r="R54" s="582">
        <f t="shared" si="5"/>
        <v>0</v>
      </c>
      <c r="T54" s="584">
        <f t="shared" si="8"/>
        <v>0</v>
      </c>
    </row>
    <row r="55" spans="3:22" ht="18" customHeight="1">
      <c r="C55" s="6">
        <v>1</v>
      </c>
      <c r="D55" s="578" t="s">
        <v>774</v>
      </c>
      <c r="E55" s="579" t="s">
        <v>774</v>
      </c>
      <c r="F55" s="580"/>
      <c r="G55" s="579" t="s">
        <v>260</v>
      </c>
      <c r="H55" s="581">
        <v>0</v>
      </c>
      <c r="I55" s="581">
        <v>0</v>
      </c>
      <c r="J55" s="581">
        <v>0</v>
      </c>
      <c r="K55" s="582">
        <f t="shared" si="7"/>
        <v>0</v>
      </c>
      <c r="M55" s="583">
        <f>SUMIF('CF.2'!$H$5:$H$24,'CF.1'!E55,'CF.2'!$J$5:$J$24)-SUMIF('CF.2'!$K$5:$K$24,'CF.1'!E55,'CF.2'!$M$5:$M$24)</f>
        <v>0</v>
      </c>
      <c r="N55" s="581">
        <f>SUMIF('CF.2'!$H$30:$H$59,'CF.1'!E55,'CF.2'!$J$30:$J$59)+SUMIF('CF.2'!$K$30:$K$59,'CF.1'!E55,'CF.2'!$M$30:$M$59)</f>
        <v>0</v>
      </c>
      <c r="O55" s="581">
        <f>SUMIF('CF.2'!$H$64:$H$98,'CF.1'!E55,'CF.2'!$J$64:$J$98)+SUMIF('CF.2'!$K$64:$K$98,'CF.1'!E55,'CF.2'!$M$64:$M$98)</f>
        <v>0</v>
      </c>
      <c r="P55" s="581">
        <f>SUMIF('CF.2'!$H$102:$H$108,'CF.1'!E55,'CF.2'!$J$102:$J$108)+SUMIF('CF.2'!$K$102:$K$108,'CF.1'!E55,'CF.2'!$M$102:$M$108)</f>
        <v>0</v>
      </c>
      <c r="Q55" s="581">
        <f>SUMIF('CF.2'!$H$113:$H$121,'CF.1'!E55,'CF.2'!$J$113:$J$121)+SUMIF('CF.2'!$K$113:$K$121,'CF.1'!E55,'CF.2'!$M$113:$M$121)</f>
        <v>0</v>
      </c>
      <c r="R55" s="582">
        <f t="shared" si="5"/>
        <v>0</v>
      </c>
      <c r="T55" s="584">
        <f t="shared" si="8"/>
        <v>0</v>
      </c>
    </row>
    <row r="56" spans="3:22" ht="18" customHeight="1">
      <c r="C56" s="6">
        <v>1</v>
      </c>
      <c r="D56" s="578" t="s">
        <v>775</v>
      </c>
      <c r="E56" s="579" t="s">
        <v>775</v>
      </c>
      <c r="F56" s="580"/>
      <c r="G56" s="579" t="s">
        <v>776</v>
      </c>
      <c r="H56" s="581">
        <v>0</v>
      </c>
      <c r="I56" s="581">
        <v>0</v>
      </c>
      <c r="J56" s="581">
        <v>0</v>
      </c>
      <c r="K56" s="582">
        <f t="shared" si="7"/>
        <v>0</v>
      </c>
      <c r="M56" s="583">
        <f>SUMIF('CF.2'!$H$5:$H$24,'CF.1'!E56,'CF.2'!$J$5:$J$24)-SUMIF('CF.2'!$K$5:$K$24,'CF.1'!E56,'CF.2'!$M$5:$M$24)</f>
        <v>0</v>
      </c>
      <c r="N56" s="581">
        <f>SUMIF('CF.2'!$H$30:$H$59,'CF.1'!E56,'CF.2'!$J$30:$J$59)+SUMIF('CF.2'!$K$30:$K$59,'CF.1'!E56,'CF.2'!$M$30:$M$59)</f>
        <v>0</v>
      </c>
      <c r="O56" s="581">
        <f>SUMIF('CF.2'!$H$64:$H$98,'CF.1'!E56,'CF.2'!$J$64:$J$98)+SUMIF('CF.2'!$K$64:$K$98,'CF.1'!E56,'CF.2'!$M$64:$M$98)</f>
        <v>0</v>
      </c>
      <c r="P56" s="581">
        <f>SUMIF('CF.2'!$H$102:$H$108,'CF.1'!E56,'CF.2'!$J$102:$J$108)+SUMIF('CF.2'!$K$102:$K$108,'CF.1'!E56,'CF.2'!$M$102:$M$108)</f>
        <v>0</v>
      </c>
      <c r="Q56" s="581">
        <f>SUMIF('CF.2'!$H$113:$H$121,'CF.1'!E56,'CF.2'!$J$113:$J$121)+SUMIF('CF.2'!$K$113:$K$121,'CF.1'!E56,'CF.2'!$M$113:$M$121)</f>
        <v>0</v>
      </c>
      <c r="R56" s="582">
        <f t="shared" si="5"/>
        <v>0</v>
      </c>
      <c r="T56" s="584">
        <f t="shared" si="8"/>
        <v>0</v>
      </c>
    </row>
    <row r="57" spans="3:22" ht="18" customHeight="1">
      <c r="C57" s="6">
        <v>1</v>
      </c>
      <c r="D57" s="578" t="s">
        <v>777</v>
      </c>
      <c r="E57" s="579" t="s">
        <v>777</v>
      </c>
      <c r="F57" s="580"/>
      <c r="G57" s="579" t="s">
        <v>778</v>
      </c>
      <c r="H57" s="581">
        <v>0</v>
      </c>
      <c r="I57" s="581">
        <v>0</v>
      </c>
      <c r="J57" s="581">
        <v>0</v>
      </c>
      <c r="K57" s="582">
        <f t="shared" si="7"/>
        <v>0</v>
      </c>
      <c r="M57" s="583">
        <f>SUMIF('CF.2'!$H$5:$H$24,'CF.1'!E57,'CF.2'!$J$5:$J$24)-SUMIF('CF.2'!$K$5:$K$24,'CF.1'!E57,'CF.2'!$M$5:$M$24)</f>
        <v>0</v>
      </c>
      <c r="N57" s="581">
        <f>SUMIF('CF.2'!$H$30:$H$59,'CF.1'!E57,'CF.2'!$J$30:$J$59)+SUMIF('CF.2'!$K$30:$K$59,'CF.1'!E57,'CF.2'!$M$30:$M$59)</f>
        <v>0</v>
      </c>
      <c r="O57" s="581">
        <f>SUMIF('CF.2'!$H$64:$H$98,'CF.1'!E57,'CF.2'!$J$64:$J$98)+SUMIF('CF.2'!$K$64:$K$98,'CF.1'!E57,'CF.2'!$M$64:$M$98)</f>
        <v>0</v>
      </c>
      <c r="P57" s="581">
        <f>SUMIF('CF.2'!$H$102:$H$108,'CF.1'!E57,'CF.2'!$J$102:$J$108)+SUMIF('CF.2'!$K$102:$K$108,'CF.1'!E57,'CF.2'!$M$102:$M$108)</f>
        <v>0</v>
      </c>
      <c r="Q57" s="581">
        <f>SUMIF('CF.2'!$H$113:$H$121,'CF.1'!E57,'CF.2'!$J$113:$J$121)+SUMIF('CF.2'!$K$113:$K$121,'CF.1'!E57,'CF.2'!$M$113:$M$121)</f>
        <v>0</v>
      </c>
      <c r="R57" s="582">
        <f t="shared" si="5"/>
        <v>0</v>
      </c>
      <c r="T57" s="584">
        <f t="shared" si="8"/>
        <v>0</v>
      </c>
    </row>
    <row r="58" spans="3:22" ht="18" customHeight="1">
      <c r="C58" s="6">
        <v>1</v>
      </c>
      <c r="D58" s="578" t="s">
        <v>779</v>
      </c>
      <c r="E58" s="579" t="s">
        <v>779</v>
      </c>
      <c r="F58" s="580"/>
      <c r="G58" s="579" t="s">
        <v>780</v>
      </c>
      <c r="H58" s="581">
        <v>0</v>
      </c>
      <c r="I58" s="581">
        <v>0</v>
      </c>
      <c r="J58" s="581">
        <v>0</v>
      </c>
      <c r="K58" s="582">
        <f t="shared" si="7"/>
        <v>0</v>
      </c>
      <c r="M58" s="583">
        <f>SUMIF('CF.2'!$H$5:$H$24,'CF.1'!E58,'CF.2'!$J$5:$J$24)-SUMIF('CF.2'!$K$5:$K$24,'CF.1'!E58,'CF.2'!$M$5:$M$24)</f>
        <v>0</v>
      </c>
      <c r="N58" s="581">
        <f>SUMIF('CF.2'!$H$30:$H$59,'CF.1'!E58,'CF.2'!$J$30:$J$59)+SUMIF('CF.2'!$K$30:$K$59,'CF.1'!E58,'CF.2'!$M$30:$M$59)</f>
        <v>0</v>
      </c>
      <c r="O58" s="581">
        <f>SUMIF('CF.2'!$H$64:$H$98,'CF.1'!E58,'CF.2'!$J$64:$J$98)+SUMIF('CF.2'!$K$64:$K$98,'CF.1'!E58,'CF.2'!$M$64:$M$98)</f>
        <v>0</v>
      </c>
      <c r="P58" s="581">
        <f>SUMIF('CF.2'!$H$102:$H$108,'CF.1'!E58,'CF.2'!$J$102:$J$108)+SUMIF('CF.2'!$K$102:$K$108,'CF.1'!E58,'CF.2'!$M$102:$M$108)</f>
        <v>0</v>
      </c>
      <c r="Q58" s="581">
        <f>SUMIF('CF.2'!$H$113:$H$121,'CF.1'!E58,'CF.2'!$J$113:$J$121)+SUMIF('CF.2'!$K$113:$K$121,'CF.1'!E58,'CF.2'!$M$113:$M$121)</f>
        <v>0</v>
      </c>
      <c r="R58" s="582">
        <f t="shared" si="5"/>
        <v>0</v>
      </c>
      <c r="T58" s="584">
        <f t="shared" si="8"/>
        <v>0</v>
      </c>
    </row>
    <row r="59" spans="3:22" ht="18" customHeight="1">
      <c r="C59" s="6">
        <v>1</v>
      </c>
      <c r="D59" s="578" t="s">
        <v>781</v>
      </c>
      <c r="E59" s="579" t="s">
        <v>781</v>
      </c>
      <c r="F59" s="580"/>
      <c r="G59" s="579" t="s">
        <v>782</v>
      </c>
      <c r="H59" s="581">
        <v>0</v>
      </c>
      <c r="I59" s="581">
        <v>0</v>
      </c>
      <c r="J59" s="581">
        <v>0</v>
      </c>
      <c r="K59" s="582">
        <f t="shared" si="7"/>
        <v>0</v>
      </c>
      <c r="M59" s="583">
        <f>SUMIF('CF.2'!$H$5:$H$24,'CF.1'!E59,'CF.2'!$J$5:$J$24)-SUMIF('CF.2'!$K$5:$K$24,'CF.1'!E59,'CF.2'!$M$5:$M$24)</f>
        <v>0</v>
      </c>
      <c r="N59" s="581">
        <f>SUMIF('CF.2'!$H$30:$H$59,'CF.1'!E59,'CF.2'!$J$30:$J$59)+SUMIF('CF.2'!$K$30:$K$59,'CF.1'!E59,'CF.2'!$M$30:$M$59)</f>
        <v>0</v>
      </c>
      <c r="O59" s="581">
        <f>SUMIF('CF.2'!$H$64:$H$98,'CF.1'!E59,'CF.2'!$J$64:$J$98)+SUMIF('CF.2'!$K$64:$K$98,'CF.1'!E59,'CF.2'!$M$64:$M$98)</f>
        <v>0</v>
      </c>
      <c r="P59" s="581">
        <f>SUMIF('CF.2'!$H$102:$H$108,'CF.1'!E59,'CF.2'!$J$102:$J$108)+SUMIF('CF.2'!$K$102:$K$108,'CF.1'!E59,'CF.2'!$M$102:$M$108)</f>
        <v>0</v>
      </c>
      <c r="Q59" s="581">
        <f>SUMIF('CF.2'!$H$113:$H$121,'CF.1'!E59,'CF.2'!$J$113:$J$121)+SUMIF('CF.2'!$K$113:$K$121,'CF.1'!E59,'CF.2'!$M$113:$M$121)</f>
        <v>0</v>
      </c>
      <c r="R59" s="582">
        <f t="shared" si="5"/>
        <v>0</v>
      </c>
      <c r="T59" s="584">
        <f t="shared" si="8"/>
        <v>0</v>
      </c>
    </row>
    <row r="60" spans="3:22" ht="18" customHeight="1">
      <c r="C60" s="6">
        <v>1</v>
      </c>
      <c r="D60" s="578" t="s">
        <v>783</v>
      </c>
      <c r="E60" s="579" t="s">
        <v>783</v>
      </c>
      <c r="F60" s="580" t="s">
        <v>2138</v>
      </c>
      <c r="G60" s="579" t="s">
        <v>689</v>
      </c>
      <c r="H60" s="581">
        <v>0</v>
      </c>
      <c r="I60" s="581">
        <v>0</v>
      </c>
      <c r="J60" s="581">
        <v>0</v>
      </c>
      <c r="K60" s="582">
        <f t="shared" si="7"/>
        <v>0</v>
      </c>
      <c r="M60" s="583">
        <f>SUMIF('CF.2'!$H$5:$H$24,'CF.1'!E60,'CF.2'!$J$5:$J$24)-SUMIF('CF.2'!$K$5:$K$24,'CF.1'!E60,'CF.2'!$M$5:$M$24)</f>
        <v>0</v>
      </c>
      <c r="N60" s="581">
        <f>SUMIF('CF.2'!$H$30:$H$59,'CF.1'!E60,'CF.2'!$J$30:$J$59)+SUMIF('CF.2'!$K$30:$K$59,'CF.1'!E60,'CF.2'!$M$30:$M$59)</f>
        <v>0</v>
      </c>
      <c r="O60" s="581">
        <f>SUMIF('CF.2'!$H$64:$H$98,'CF.1'!E60,'CF.2'!$J$64:$J$98)+SUMIF('CF.2'!$K$64:$K$98,'CF.1'!E60,'CF.2'!$M$64:$M$98)</f>
        <v>0</v>
      </c>
      <c r="P60" s="581">
        <f>SUMIF('CF.2'!$H$102:$H$108,'CF.1'!E60,'CF.2'!$J$102:$J$108)+SUMIF('CF.2'!$K$102:$K$108,'CF.1'!E60,'CF.2'!$M$102:$M$108)</f>
        <v>0</v>
      </c>
      <c r="Q60" s="581">
        <f>SUMIF('CF.2'!$H$113:$H$121,'CF.1'!E60,'CF.2'!$J$113:$J$121)+SUMIF('CF.2'!$K$113:$K$121,'CF.1'!E60,'CF.2'!$M$113:$M$121)</f>
        <v>0</v>
      </c>
      <c r="R60" s="582">
        <f t="shared" si="5"/>
        <v>0</v>
      </c>
      <c r="T60" s="584">
        <f t="shared" si="8"/>
        <v>0</v>
      </c>
    </row>
    <row r="61" spans="3:22" ht="18" customHeight="1">
      <c r="C61" s="6">
        <v>1</v>
      </c>
      <c r="D61" s="578" t="s">
        <v>784</v>
      </c>
      <c r="E61" s="579" t="s">
        <v>784</v>
      </c>
      <c r="F61" s="580" t="s">
        <v>682</v>
      </c>
      <c r="G61" s="579" t="s">
        <v>682</v>
      </c>
      <c r="H61" s="581">
        <v>124898415</v>
      </c>
      <c r="I61" s="581">
        <v>2096033</v>
      </c>
      <c r="J61" s="585">
        <v>54578280</v>
      </c>
      <c r="K61" s="582">
        <f t="shared" si="7"/>
        <v>181572728</v>
      </c>
      <c r="M61" s="583">
        <f>SUMIF('CF.2'!$H$5:$H$24,'CF.1'!E61,'CF.2'!$J$5:$J$24)-SUMIF('CF.2'!$K$5:$K$24,'CF.1'!E61,'CF.2'!$M$5:$M$24)</f>
        <v>0</v>
      </c>
      <c r="N61" s="581">
        <f>SUMIF('CF.2'!$H$30:$H$59,'CF.1'!E61,'CF.2'!$J$30:$J$59)+SUMIF('CF.2'!$K$30:$K$59,'CF.1'!E61,'CF.2'!$M$30:$M$59)</f>
        <v>0</v>
      </c>
      <c r="O61" s="581">
        <f>SUMIF('CF.2'!$H$64:$H$98,'CF.1'!E61,'CF.2'!$J$64:$J$98)+SUMIF('CF.2'!$K$64:$K$98,'CF.1'!E61,'CF.2'!$M$64:$M$98)</f>
        <v>-9497071</v>
      </c>
      <c r="P61" s="581">
        <f>SUMIF('CF.2'!$H$102:$H$108,'CF.1'!E61,'CF.2'!$J$102:$J$108)+SUMIF('CF.2'!$K$102:$K$108,'CF.1'!E61,'CF.2'!$M$102:$M$108)</f>
        <v>0</v>
      </c>
      <c r="Q61" s="581">
        <f>SUMIF('CF.2'!$H$113:$H$121,'CF.1'!E61,'CF.2'!$J$113:$J$121)+SUMIF('CF.2'!$K$113:$K$121,'CF.1'!E61,'CF.2'!$M$113:$M$121)</f>
        <v>0</v>
      </c>
      <c r="R61" s="582">
        <f t="shared" si="5"/>
        <v>-9497071</v>
      </c>
      <c r="T61" s="584">
        <f t="shared" si="8"/>
        <v>172075657</v>
      </c>
      <c r="V61" s="7" t="b">
        <f>ROUND(SUM(T_IS!W87:W90),0)=ROUND(T61,0)</f>
        <v>1</v>
      </c>
    </row>
    <row r="62" spans="3:22" ht="18" customHeight="1">
      <c r="C62" s="6">
        <v>1</v>
      </c>
      <c r="D62" s="578" t="s">
        <v>785</v>
      </c>
      <c r="E62" s="579" t="s">
        <v>785</v>
      </c>
      <c r="F62" s="580" t="s">
        <v>380</v>
      </c>
      <c r="G62" s="579" t="s">
        <v>380</v>
      </c>
      <c r="H62" s="581">
        <v>0</v>
      </c>
      <c r="I62" s="581">
        <v>0</v>
      </c>
      <c r="J62" s="581">
        <v>-55823716</v>
      </c>
      <c r="K62" s="582">
        <f t="shared" si="7"/>
        <v>-55823716</v>
      </c>
      <c r="M62" s="583">
        <f>SUMIF('CF.2'!$H$5:$H$24,'CF.1'!E62,'CF.2'!$J$5:$J$24)-SUMIF('CF.2'!$K$5:$K$24,'CF.1'!E62,'CF.2'!$M$5:$M$24)</f>
        <v>0</v>
      </c>
      <c r="N62" s="581">
        <f>SUMIF('CF.2'!$H$30:$H$59,'CF.1'!E62,'CF.2'!$J$30:$J$59)+SUMIF('CF.2'!$K$30:$K$59,'CF.1'!E62,'CF.2'!$M$30:$M$59)</f>
        <v>-1924499179</v>
      </c>
      <c r="O62" s="581">
        <f>SUMIF('CF.2'!$H$64:$H$98,'CF.1'!E62,'CF.2'!$J$64:$J$98)+SUMIF('CF.2'!$K$64:$K$98,'CF.1'!E62,'CF.2'!$M$64:$M$98)</f>
        <v>0</v>
      </c>
      <c r="P62" s="581">
        <f>SUMIF('CF.2'!$H$102:$H$108,'CF.1'!E62,'CF.2'!$J$102:$J$108)+SUMIF('CF.2'!$K$102:$K$108,'CF.1'!E62,'CF.2'!$M$102:$M$108)</f>
        <v>0</v>
      </c>
      <c r="Q62" s="581">
        <f>SUMIF('CF.2'!$H$113:$H$121,'CF.1'!E62,'CF.2'!$J$113:$J$121)+SUMIF('CF.2'!$K$113:$K$121,'CF.1'!E62,'CF.2'!$M$113:$M$121)</f>
        <v>0</v>
      </c>
      <c r="R62" s="582">
        <f t="shared" si="5"/>
        <v>-1924499179</v>
      </c>
      <c r="T62" s="584">
        <f t="shared" si="8"/>
        <v>-1980322895</v>
      </c>
      <c r="V62" s="6" t="b">
        <f>T62=T_IS!W122</f>
        <v>1</v>
      </c>
    </row>
    <row r="63" spans="3:22" ht="18" customHeight="1">
      <c r="C63" s="6">
        <v>1</v>
      </c>
      <c r="D63" s="578" t="s">
        <v>786</v>
      </c>
      <c r="E63" s="579" t="s">
        <v>786</v>
      </c>
      <c r="F63" s="580"/>
      <c r="G63" s="579" t="s">
        <v>787</v>
      </c>
      <c r="H63" s="581">
        <v>0</v>
      </c>
      <c r="I63" s="581">
        <v>0</v>
      </c>
      <c r="J63" s="581">
        <v>0</v>
      </c>
      <c r="K63" s="582">
        <f t="shared" si="7"/>
        <v>0</v>
      </c>
      <c r="M63" s="583">
        <f>SUMIF('CF.2'!$H$5:$H$24,'CF.1'!E63,'CF.2'!$J$5:$J$24)-SUMIF('CF.2'!$K$5:$K$24,'CF.1'!E63,'CF.2'!$M$5:$M$24)</f>
        <v>0</v>
      </c>
      <c r="N63" s="581">
        <f>SUMIF('CF.2'!$H$30:$H$59,'CF.1'!E63,'CF.2'!$J$30:$J$59)+SUMIF('CF.2'!$K$30:$K$59,'CF.1'!E63,'CF.2'!$M$30:$M$59)</f>
        <v>0</v>
      </c>
      <c r="O63" s="581">
        <f>SUMIF('CF.2'!$H$64:$H$98,'CF.1'!E63,'CF.2'!$J$64:$J$98)+SUMIF('CF.2'!$K$64:$K$98,'CF.1'!E63,'CF.2'!$M$64:$M$98)</f>
        <v>0</v>
      </c>
      <c r="P63" s="581">
        <f>SUMIF('CF.2'!$H$102:$H$108,'CF.1'!E63,'CF.2'!$J$102:$J$108)+SUMIF('CF.2'!$K$102:$K$108,'CF.1'!E63,'CF.2'!$M$102:$M$108)</f>
        <v>0</v>
      </c>
      <c r="Q63" s="581">
        <f>SUMIF('CF.2'!$H$113:$H$121,'CF.1'!E63,'CF.2'!$J$113:$J$121)+SUMIF('CF.2'!$K$113:$K$121,'CF.1'!E63,'CF.2'!$M$113:$M$121)</f>
        <v>0</v>
      </c>
      <c r="R63" s="582">
        <f t="shared" si="5"/>
        <v>0</v>
      </c>
      <c r="T63" s="584">
        <f t="shared" si="8"/>
        <v>0</v>
      </c>
    </row>
    <row r="64" spans="3:22" ht="18" customHeight="1">
      <c r="C64" s="6">
        <v>1</v>
      </c>
      <c r="D64" s="578" t="s">
        <v>788</v>
      </c>
      <c r="E64" s="579" t="s">
        <v>788</v>
      </c>
      <c r="F64" s="580"/>
      <c r="G64" s="579" t="s">
        <v>789</v>
      </c>
      <c r="H64" s="581">
        <v>0</v>
      </c>
      <c r="I64" s="581">
        <v>0</v>
      </c>
      <c r="J64" s="581">
        <v>0</v>
      </c>
      <c r="K64" s="582">
        <f t="shared" si="7"/>
        <v>0</v>
      </c>
      <c r="M64" s="583">
        <f>SUMIF('CF.2'!$H$5:$H$24,'CF.1'!E64,'CF.2'!$J$5:$J$24)-SUMIF('CF.2'!$K$5:$K$24,'CF.1'!E64,'CF.2'!$M$5:$M$24)</f>
        <v>0</v>
      </c>
      <c r="N64" s="581">
        <f>SUMIF('CF.2'!$H$30:$H$59,'CF.1'!E64,'CF.2'!$J$30:$J$59)+SUMIF('CF.2'!$K$30:$K$59,'CF.1'!E64,'CF.2'!$M$30:$M$59)</f>
        <v>0</v>
      </c>
      <c r="O64" s="581">
        <f>SUMIF('CF.2'!$H$64:$H$98,'CF.1'!E64,'CF.2'!$J$64:$J$98)+SUMIF('CF.2'!$K$64:$K$98,'CF.1'!E64,'CF.2'!$M$64:$M$98)</f>
        <v>0</v>
      </c>
      <c r="P64" s="581">
        <f>SUMIF('CF.2'!$H$102:$H$108,'CF.1'!E64,'CF.2'!$J$102:$J$108)+SUMIF('CF.2'!$K$102:$K$108,'CF.1'!E64,'CF.2'!$M$102:$M$108)</f>
        <v>0</v>
      </c>
      <c r="Q64" s="581">
        <f>SUMIF('CF.2'!$H$113:$H$121,'CF.1'!E64,'CF.2'!$J$113:$J$121)+SUMIF('CF.2'!$K$113:$K$121,'CF.1'!E64,'CF.2'!$M$113:$M$121)</f>
        <v>0</v>
      </c>
      <c r="R64" s="582">
        <f t="shared" si="5"/>
        <v>0</v>
      </c>
      <c r="T64" s="584">
        <f t="shared" si="8"/>
        <v>0</v>
      </c>
    </row>
    <row r="65" spans="3:20" ht="18" customHeight="1">
      <c r="C65" s="6">
        <v>1</v>
      </c>
      <c r="D65" s="578" t="s">
        <v>790</v>
      </c>
      <c r="E65" s="579" t="s">
        <v>790</v>
      </c>
      <c r="F65" s="580"/>
      <c r="G65" s="579" t="s">
        <v>791</v>
      </c>
      <c r="H65" s="581">
        <v>0</v>
      </c>
      <c r="I65" s="581">
        <v>0</v>
      </c>
      <c r="J65" s="581">
        <v>0</v>
      </c>
      <c r="K65" s="582">
        <f t="shared" si="7"/>
        <v>0</v>
      </c>
      <c r="M65" s="583">
        <f>SUMIF('CF.2'!$H$5:$H$24,'CF.1'!E65,'CF.2'!$J$5:$J$24)-SUMIF('CF.2'!$K$5:$K$24,'CF.1'!E65,'CF.2'!$M$5:$M$24)</f>
        <v>0</v>
      </c>
      <c r="N65" s="581">
        <f>SUMIF('CF.2'!$H$30:$H$59,'CF.1'!E65,'CF.2'!$J$30:$J$59)+SUMIF('CF.2'!$K$30:$K$59,'CF.1'!E65,'CF.2'!$M$30:$M$59)</f>
        <v>0</v>
      </c>
      <c r="O65" s="581">
        <f>SUMIF('CF.2'!$H$64:$H$98,'CF.1'!E65,'CF.2'!$J$64:$J$98)+SUMIF('CF.2'!$K$64:$K$98,'CF.1'!E65,'CF.2'!$M$64:$M$98)</f>
        <v>0</v>
      </c>
      <c r="P65" s="581">
        <f>SUMIF('CF.2'!$H$102:$H$108,'CF.1'!E65,'CF.2'!$J$102:$J$108)+SUMIF('CF.2'!$K$102:$K$108,'CF.1'!E65,'CF.2'!$M$102:$M$108)</f>
        <v>0</v>
      </c>
      <c r="Q65" s="581">
        <f>SUMIF('CF.2'!$H$113:$H$121,'CF.1'!E65,'CF.2'!$J$113:$J$121)+SUMIF('CF.2'!$K$113:$K$121,'CF.1'!E65,'CF.2'!$M$113:$M$121)</f>
        <v>0</v>
      </c>
      <c r="R65" s="582">
        <f t="shared" si="5"/>
        <v>0</v>
      </c>
      <c r="T65" s="584">
        <f t="shared" si="8"/>
        <v>0</v>
      </c>
    </row>
    <row r="66" spans="3:20" ht="18" customHeight="1">
      <c r="C66" s="6">
        <v>1</v>
      </c>
      <c r="D66" s="578" t="s">
        <v>792</v>
      </c>
      <c r="E66" s="579" t="s">
        <v>792</v>
      </c>
      <c r="F66" s="580"/>
      <c r="G66" s="579" t="s">
        <v>793</v>
      </c>
      <c r="H66" s="581">
        <v>0</v>
      </c>
      <c r="I66" s="581">
        <v>0</v>
      </c>
      <c r="J66" s="581">
        <v>0</v>
      </c>
      <c r="K66" s="582">
        <f t="shared" si="7"/>
        <v>0</v>
      </c>
      <c r="M66" s="583">
        <f>SUMIF('CF.2'!$H$5:$H$24,'CF.1'!E66,'CF.2'!$J$5:$J$24)-SUMIF('CF.2'!$K$5:$K$24,'CF.1'!E66,'CF.2'!$M$5:$M$24)</f>
        <v>0</v>
      </c>
      <c r="N66" s="581">
        <f>SUMIF('CF.2'!$H$30:$H$59,'CF.1'!E66,'CF.2'!$J$30:$J$59)+SUMIF('CF.2'!$K$30:$K$59,'CF.1'!E66,'CF.2'!$M$30:$M$59)</f>
        <v>0</v>
      </c>
      <c r="O66" s="581">
        <f>SUMIF('CF.2'!$H$64:$H$98,'CF.1'!E66,'CF.2'!$J$64:$J$98)+SUMIF('CF.2'!$K$64:$K$98,'CF.1'!E66,'CF.2'!$M$64:$M$98)</f>
        <v>0</v>
      </c>
      <c r="P66" s="581">
        <f>SUMIF('CF.2'!$H$102:$H$108,'CF.1'!E66,'CF.2'!$J$102:$J$108)+SUMIF('CF.2'!$K$102:$K$108,'CF.1'!E66,'CF.2'!$M$102:$M$108)</f>
        <v>0</v>
      </c>
      <c r="Q66" s="581">
        <f>SUMIF('CF.2'!$H$113:$H$121,'CF.1'!E66,'CF.2'!$J$113:$J$121)+SUMIF('CF.2'!$K$113:$K$121,'CF.1'!E66,'CF.2'!$M$113:$M$121)</f>
        <v>0</v>
      </c>
      <c r="R66" s="582">
        <f t="shared" si="5"/>
        <v>0</v>
      </c>
      <c r="T66" s="584">
        <f t="shared" si="8"/>
        <v>0</v>
      </c>
    </row>
    <row r="67" spans="3:20" ht="18" customHeight="1">
      <c r="C67" s="6">
        <v>1</v>
      </c>
      <c r="D67" s="578" t="s">
        <v>794</v>
      </c>
      <c r="E67" s="579" t="s">
        <v>794</v>
      </c>
      <c r="F67" s="580"/>
      <c r="G67" s="579" t="s">
        <v>795</v>
      </c>
      <c r="H67" s="581">
        <v>0</v>
      </c>
      <c r="I67" s="581">
        <v>0</v>
      </c>
      <c r="J67" s="581">
        <v>0</v>
      </c>
      <c r="K67" s="582">
        <f t="shared" si="7"/>
        <v>0</v>
      </c>
      <c r="M67" s="583">
        <f>SUMIF('CF.2'!$H$5:$H$24,'CF.1'!E67,'CF.2'!$J$5:$J$24)-SUMIF('CF.2'!$K$5:$K$24,'CF.1'!E67,'CF.2'!$M$5:$M$24)</f>
        <v>0</v>
      </c>
      <c r="N67" s="581">
        <f>SUMIF('CF.2'!$H$30:$H$59,'CF.1'!E67,'CF.2'!$J$30:$J$59)+SUMIF('CF.2'!$K$30:$K$59,'CF.1'!E67,'CF.2'!$M$30:$M$59)</f>
        <v>0</v>
      </c>
      <c r="O67" s="581">
        <f>SUMIF('CF.2'!$H$64:$H$98,'CF.1'!E67,'CF.2'!$J$64:$J$98)+SUMIF('CF.2'!$K$64:$K$98,'CF.1'!E67,'CF.2'!$M$64:$M$98)</f>
        <v>0</v>
      </c>
      <c r="P67" s="581">
        <f>SUMIF('CF.2'!$H$102:$H$108,'CF.1'!E67,'CF.2'!$J$102:$J$108)+SUMIF('CF.2'!$K$102:$K$108,'CF.1'!E67,'CF.2'!$M$102:$M$108)</f>
        <v>0</v>
      </c>
      <c r="Q67" s="581">
        <f>SUMIF('CF.2'!$H$113:$H$121,'CF.1'!E67,'CF.2'!$J$113:$J$121)+SUMIF('CF.2'!$K$113:$K$121,'CF.1'!E67,'CF.2'!$M$113:$M$121)</f>
        <v>0</v>
      </c>
      <c r="R67" s="582">
        <f t="shared" si="5"/>
        <v>0</v>
      </c>
      <c r="T67" s="584">
        <f t="shared" si="8"/>
        <v>0</v>
      </c>
    </row>
    <row r="68" spans="3:20" ht="18" customHeight="1">
      <c r="C68" s="6">
        <v>1</v>
      </c>
      <c r="D68" s="578" t="s">
        <v>796</v>
      </c>
      <c r="E68" s="579" t="s">
        <v>796</v>
      </c>
      <c r="F68" s="580"/>
      <c r="G68" s="579" t="s">
        <v>797</v>
      </c>
      <c r="H68" s="581">
        <v>0</v>
      </c>
      <c r="I68" s="581">
        <v>0</v>
      </c>
      <c r="J68" s="581">
        <v>0</v>
      </c>
      <c r="K68" s="582">
        <f t="shared" si="7"/>
        <v>0</v>
      </c>
      <c r="M68" s="583">
        <f>SUMIF('CF.2'!$H$5:$H$24,'CF.1'!E68,'CF.2'!$J$5:$J$24)-SUMIF('CF.2'!$K$5:$K$24,'CF.1'!E68,'CF.2'!$M$5:$M$24)</f>
        <v>0</v>
      </c>
      <c r="N68" s="581">
        <f>SUMIF('CF.2'!$H$30:$H$59,'CF.1'!E68,'CF.2'!$J$30:$J$59)+SUMIF('CF.2'!$K$30:$K$59,'CF.1'!E68,'CF.2'!$M$30:$M$59)</f>
        <v>0</v>
      </c>
      <c r="O68" s="581">
        <f>SUMIF('CF.2'!$H$64:$H$98,'CF.1'!E68,'CF.2'!$J$64:$J$98)+SUMIF('CF.2'!$K$64:$K$98,'CF.1'!E68,'CF.2'!$M$64:$M$98)</f>
        <v>0</v>
      </c>
      <c r="P68" s="581">
        <f>SUMIF('CF.2'!$H$102:$H$108,'CF.1'!E68,'CF.2'!$J$102:$J$108)+SUMIF('CF.2'!$K$102:$K$108,'CF.1'!E68,'CF.2'!$M$102:$M$108)</f>
        <v>0</v>
      </c>
      <c r="Q68" s="581">
        <f>SUMIF('CF.2'!$H$113:$H$121,'CF.1'!E68,'CF.2'!$J$113:$J$121)+SUMIF('CF.2'!$K$113:$K$121,'CF.1'!E68,'CF.2'!$M$113:$M$121)</f>
        <v>0</v>
      </c>
      <c r="R68" s="582">
        <f t="shared" si="5"/>
        <v>0</v>
      </c>
      <c r="T68" s="584">
        <f t="shared" si="8"/>
        <v>0</v>
      </c>
    </row>
    <row r="69" spans="3:20" ht="18" customHeight="1">
      <c r="C69" s="6">
        <v>1</v>
      </c>
      <c r="D69" s="578" t="s">
        <v>798</v>
      </c>
      <c r="E69" s="579" t="s">
        <v>798</v>
      </c>
      <c r="F69" s="580"/>
      <c r="G69" s="579" t="s">
        <v>799</v>
      </c>
      <c r="H69" s="581">
        <v>0</v>
      </c>
      <c r="I69" s="581">
        <v>0</v>
      </c>
      <c r="J69" s="581">
        <v>0</v>
      </c>
      <c r="K69" s="582">
        <f t="shared" si="7"/>
        <v>0</v>
      </c>
      <c r="M69" s="583">
        <f>SUMIF('CF.2'!$H$5:$H$24,'CF.1'!E69,'CF.2'!$J$5:$J$24)-SUMIF('CF.2'!$K$5:$K$24,'CF.1'!E69,'CF.2'!$M$5:$M$24)</f>
        <v>0</v>
      </c>
      <c r="N69" s="581">
        <f>SUMIF('CF.2'!$H$30:$H$59,'CF.1'!E69,'CF.2'!$J$30:$J$59)+SUMIF('CF.2'!$K$30:$K$59,'CF.1'!E69,'CF.2'!$M$30:$M$59)</f>
        <v>0</v>
      </c>
      <c r="O69" s="581">
        <f>SUMIF('CF.2'!$H$64:$H$98,'CF.1'!E69,'CF.2'!$J$64:$J$98)+SUMIF('CF.2'!$K$64:$K$98,'CF.1'!E69,'CF.2'!$M$64:$M$98)</f>
        <v>0</v>
      </c>
      <c r="P69" s="581">
        <f>SUMIF('CF.2'!$H$102:$H$108,'CF.1'!E69,'CF.2'!$J$102:$J$108)+SUMIF('CF.2'!$K$102:$K$108,'CF.1'!E69,'CF.2'!$M$102:$M$108)</f>
        <v>0</v>
      </c>
      <c r="Q69" s="581">
        <f>SUMIF('CF.2'!$H$113:$H$121,'CF.1'!E69,'CF.2'!$J$113:$J$121)+SUMIF('CF.2'!$K$113:$K$121,'CF.1'!E69,'CF.2'!$M$113:$M$121)</f>
        <v>0</v>
      </c>
      <c r="R69" s="582">
        <f t="shared" si="5"/>
        <v>0</v>
      </c>
      <c r="T69" s="584">
        <f t="shared" si="8"/>
        <v>0</v>
      </c>
    </row>
    <row r="70" spans="3:20" ht="18" customHeight="1">
      <c r="C70" s="6">
        <v>1</v>
      </c>
      <c r="D70" s="578" t="s">
        <v>800</v>
      </c>
      <c r="E70" s="579" t="s">
        <v>800</v>
      </c>
      <c r="F70" s="580"/>
      <c r="G70" s="579" t="s">
        <v>801</v>
      </c>
      <c r="H70" s="581">
        <v>0</v>
      </c>
      <c r="I70" s="581">
        <v>0</v>
      </c>
      <c r="J70" s="581">
        <v>0</v>
      </c>
      <c r="K70" s="582">
        <f t="shared" si="7"/>
        <v>0</v>
      </c>
      <c r="M70" s="583">
        <f>SUMIF('CF.2'!$H$5:$H$24,'CF.1'!E70,'CF.2'!$J$5:$J$24)-SUMIF('CF.2'!$K$5:$K$24,'CF.1'!E70,'CF.2'!$M$5:$M$24)</f>
        <v>0</v>
      </c>
      <c r="N70" s="581">
        <f>SUMIF('CF.2'!$H$30:$H$59,'CF.1'!E70,'CF.2'!$J$30:$J$59)+SUMIF('CF.2'!$K$30:$K$59,'CF.1'!E70,'CF.2'!$M$30:$M$59)</f>
        <v>0</v>
      </c>
      <c r="O70" s="581">
        <f>SUMIF('CF.2'!$H$64:$H$98,'CF.1'!E70,'CF.2'!$J$64:$J$98)+SUMIF('CF.2'!$K$64:$K$98,'CF.1'!E70,'CF.2'!$M$64:$M$98)</f>
        <v>0</v>
      </c>
      <c r="P70" s="581">
        <f>SUMIF('CF.2'!$H$102:$H$108,'CF.1'!E70,'CF.2'!$J$102:$J$108)+SUMIF('CF.2'!$K$102:$K$108,'CF.1'!E70,'CF.2'!$M$102:$M$108)</f>
        <v>0</v>
      </c>
      <c r="Q70" s="581">
        <f>SUMIF('CF.2'!$H$113:$H$121,'CF.1'!E70,'CF.2'!$J$113:$J$121)+SUMIF('CF.2'!$K$113:$K$121,'CF.1'!E70,'CF.2'!$M$113:$M$121)</f>
        <v>0</v>
      </c>
      <c r="R70" s="582">
        <f t="shared" si="5"/>
        <v>0</v>
      </c>
      <c r="T70" s="584">
        <f t="shared" si="8"/>
        <v>0</v>
      </c>
    </row>
    <row r="71" spans="3:20" ht="18" customHeight="1">
      <c r="C71" s="6">
        <v>1</v>
      </c>
      <c r="D71" s="578" t="s">
        <v>802</v>
      </c>
      <c r="E71" s="579" t="s">
        <v>802</v>
      </c>
      <c r="F71" s="580"/>
      <c r="G71" s="579" t="s">
        <v>803</v>
      </c>
      <c r="H71" s="581">
        <v>0</v>
      </c>
      <c r="I71" s="581">
        <v>0</v>
      </c>
      <c r="J71" s="581">
        <v>0</v>
      </c>
      <c r="K71" s="582">
        <f t="shared" si="7"/>
        <v>0</v>
      </c>
      <c r="M71" s="583">
        <f>SUMIF('CF.2'!$H$5:$H$24,'CF.1'!E71,'CF.2'!$J$5:$J$24)-SUMIF('CF.2'!$K$5:$K$24,'CF.1'!E71,'CF.2'!$M$5:$M$24)</f>
        <v>0</v>
      </c>
      <c r="N71" s="581">
        <f>SUMIF('CF.2'!$H$30:$H$59,'CF.1'!E71,'CF.2'!$J$30:$J$59)+SUMIF('CF.2'!$K$30:$K$59,'CF.1'!E71,'CF.2'!$M$30:$M$59)</f>
        <v>0</v>
      </c>
      <c r="O71" s="581">
        <f>SUMIF('CF.2'!$H$64:$H$98,'CF.1'!E71,'CF.2'!$J$64:$J$98)+SUMIF('CF.2'!$K$64:$K$98,'CF.1'!E71,'CF.2'!$M$64:$M$98)</f>
        <v>0</v>
      </c>
      <c r="P71" s="581">
        <f>SUMIF('CF.2'!$H$102:$H$108,'CF.1'!E71,'CF.2'!$J$102:$J$108)+SUMIF('CF.2'!$K$102:$K$108,'CF.1'!E71,'CF.2'!$M$102:$M$108)</f>
        <v>0</v>
      </c>
      <c r="Q71" s="581">
        <f>SUMIF('CF.2'!$H$113:$H$121,'CF.1'!E71,'CF.2'!$J$113:$J$121)+SUMIF('CF.2'!$K$113:$K$121,'CF.1'!E71,'CF.2'!$M$113:$M$121)</f>
        <v>0</v>
      </c>
      <c r="R71" s="582">
        <f t="shared" si="5"/>
        <v>0</v>
      </c>
      <c r="T71" s="584">
        <f t="shared" si="8"/>
        <v>0</v>
      </c>
    </row>
    <row r="72" spans="3:20" s="587" customFormat="1" ht="18" customHeight="1">
      <c r="C72" s="6">
        <v>1</v>
      </c>
      <c r="D72" s="586" t="s">
        <v>738</v>
      </c>
      <c r="E72" s="587" t="s">
        <v>1881</v>
      </c>
      <c r="F72" s="588" t="s">
        <v>687</v>
      </c>
      <c r="G72" s="587" t="s">
        <v>1880</v>
      </c>
      <c r="H72" s="581">
        <v>0</v>
      </c>
      <c r="I72" s="581">
        <v>0</v>
      </c>
      <c r="J72" s="581">
        <v>0</v>
      </c>
      <c r="K72" s="589">
        <f t="shared" si="7"/>
        <v>0</v>
      </c>
      <c r="M72" s="590">
        <f>SUMIF('CF.2'!$H$5:$H$24,'CF.1'!E72,'CF.2'!$J$5:$J$24)-SUMIF('CF.2'!$K$5:$K$24,'CF.1'!E72,'CF.2'!$M$5:$M$24)</f>
        <v>0</v>
      </c>
      <c r="N72" s="585">
        <f>SUMIF('CF.2'!$H$30:$H$59,'CF.1'!E72,'CF.2'!$J$30:$J$59)+SUMIF('CF.2'!$K$30:$K$59,'CF.1'!E72,'CF.2'!$M$30:$M$59)</f>
        <v>0</v>
      </c>
      <c r="O72" s="585">
        <f>SUMIF('CF.2'!$H$64:$H$98,'CF.1'!E72,'CF.2'!$J$64:$J$98)+SUMIF('CF.2'!$K$64:$K$98,'CF.1'!E72,'CF.2'!$M$64:$M$98)</f>
        <v>0</v>
      </c>
      <c r="P72" s="585">
        <f>SUMIF('CF.2'!$H$102:$H$108,'CF.1'!E72,'CF.2'!$J$102:$J$108)+SUMIF('CF.2'!$K$102:$K$108,'CF.1'!E72,'CF.2'!$M$102:$M$108)</f>
        <v>0</v>
      </c>
      <c r="Q72" s="585">
        <f>SUMIF('CF.2'!$H$113:$H$121,'CF.1'!E72,'CF.2'!$J$113:$J$121)+SUMIF('CF.2'!$K$113:$K$121,'CF.1'!E72,'CF.2'!$M$113:$M$121)</f>
        <v>0</v>
      </c>
      <c r="R72" s="589">
        <f t="shared" si="5"/>
        <v>0</v>
      </c>
      <c r="T72" s="584">
        <f t="shared" si="8"/>
        <v>0</v>
      </c>
    </row>
    <row r="73" spans="3:20" ht="18" customHeight="1">
      <c r="C73" s="6">
        <v>1</v>
      </c>
      <c r="D73" s="578" t="s">
        <v>804</v>
      </c>
      <c r="E73" s="579" t="s">
        <v>804</v>
      </c>
      <c r="F73" s="580"/>
      <c r="G73" s="579" t="s">
        <v>805</v>
      </c>
      <c r="H73" s="581">
        <v>0</v>
      </c>
      <c r="I73" s="581">
        <v>0</v>
      </c>
      <c r="J73" s="581">
        <v>0</v>
      </c>
      <c r="K73" s="582">
        <f t="shared" si="7"/>
        <v>0</v>
      </c>
      <c r="M73" s="583">
        <f>SUMIF('CF.2'!$H$5:$H$24,'CF.1'!E73,'CF.2'!$J$5:$J$24)-SUMIF('CF.2'!$K$5:$K$24,'CF.1'!E73,'CF.2'!$M$5:$M$24)</f>
        <v>0</v>
      </c>
      <c r="N73" s="581">
        <f>SUMIF('CF.2'!$H$30:$H$59,'CF.1'!E73,'CF.2'!$J$30:$J$59)+SUMIF('CF.2'!$K$30:$K$59,'CF.1'!E73,'CF.2'!$M$30:$M$59)</f>
        <v>0</v>
      </c>
      <c r="O73" s="581">
        <f>SUMIF('CF.2'!$H$64:$H$98,'CF.1'!E73,'CF.2'!$J$64:$J$98)+SUMIF('CF.2'!$K$64:$K$98,'CF.1'!E73,'CF.2'!$M$64:$M$98)</f>
        <v>0</v>
      </c>
      <c r="P73" s="581">
        <f>SUMIF('CF.2'!$H$102:$H$108,'CF.1'!E73,'CF.2'!$J$102:$J$108)+SUMIF('CF.2'!$K$102:$K$108,'CF.1'!E73,'CF.2'!$M$102:$M$108)</f>
        <v>0</v>
      </c>
      <c r="Q73" s="581">
        <f>SUMIF('CF.2'!$H$113:$H$121,'CF.1'!E73,'CF.2'!$J$113:$J$121)+SUMIF('CF.2'!$K$113:$K$121,'CF.1'!E73,'CF.2'!$M$113:$M$121)</f>
        <v>0</v>
      </c>
      <c r="R73" s="582">
        <f t="shared" si="5"/>
        <v>0</v>
      </c>
      <c r="T73" s="584">
        <f t="shared" si="8"/>
        <v>0</v>
      </c>
    </row>
    <row r="74" spans="3:20" ht="18" customHeight="1">
      <c r="C74" s="6">
        <v>1</v>
      </c>
      <c r="D74" s="571" t="s">
        <v>806</v>
      </c>
      <c r="E74" s="572" t="s">
        <v>806</v>
      </c>
      <c r="F74" s="573"/>
      <c r="G74" s="572" t="s">
        <v>807</v>
      </c>
      <c r="H74" s="574">
        <f>SUM(H75:H124)</f>
        <v>-669764340</v>
      </c>
      <c r="I74" s="574">
        <f>SUM(I75:I124)</f>
        <v>395461</v>
      </c>
      <c r="J74" s="574">
        <f>SUM(J75:J124)</f>
        <v>-12445387</v>
      </c>
      <c r="K74" s="575">
        <f>SUM(K75:K124)</f>
        <v>-681814266</v>
      </c>
      <c r="M74" s="576">
        <f t="shared" ref="M74:R74" si="9">SUM(M75:M124)</f>
        <v>0</v>
      </c>
      <c r="N74" s="574">
        <f t="shared" si="9"/>
        <v>0</v>
      </c>
      <c r="O74" s="574">
        <f t="shared" si="9"/>
        <v>8564195</v>
      </c>
      <c r="P74" s="574">
        <f t="shared" si="9"/>
        <v>0</v>
      </c>
      <c r="Q74" s="574">
        <f t="shared" si="9"/>
        <v>0</v>
      </c>
      <c r="R74" s="575">
        <f t="shared" si="9"/>
        <v>8564195</v>
      </c>
      <c r="T74" s="577">
        <f>SUM(T75:T124)</f>
        <v>-673250071</v>
      </c>
    </row>
    <row r="75" spans="3:20" ht="18" customHeight="1">
      <c r="C75" s="6">
        <v>1</v>
      </c>
      <c r="D75" s="578" t="s">
        <v>808</v>
      </c>
      <c r="E75" s="579" t="s">
        <v>808</v>
      </c>
      <c r="F75" s="580" t="s">
        <v>676</v>
      </c>
      <c r="G75" s="579" t="s">
        <v>676</v>
      </c>
      <c r="H75" s="879">
        <v>-48978076</v>
      </c>
      <c r="I75" s="581">
        <v>0</v>
      </c>
      <c r="J75" s="581">
        <v>0</v>
      </c>
      <c r="K75" s="582">
        <f t="shared" ref="K75:K106" si="10">SUM(H75:J75)</f>
        <v>-48978076</v>
      </c>
      <c r="M75" s="583">
        <f>SUMIF('CF.2'!$H$5:$H$24,'CF.1'!E75,'CF.2'!$J$5:$J$24)-SUMIF('CF.2'!$K$5:$K$24,'CF.1'!E75,'CF.2'!$M$5:$M$24)</f>
        <v>0</v>
      </c>
      <c r="N75" s="581">
        <f>SUMIF('CF.2'!$H$30:$H$59,'CF.1'!E75,'CF.2'!$J$30:$J$59)+SUMIF('CF.2'!$K$30:$K$59,'CF.1'!E75,'CF.2'!$M$30:$M$59)</f>
        <v>0</v>
      </c>
      <c r="O75" s="581">
        <f>SUMIF('CF.2'!$H$64:$H$98,'CF.1'!E75,'CF.2'!$J$64:$J$98)+SUMIF('CF.2'!$K$64:$K$98,'CF.1'!E75,'CF.2'!$M$64:$M$98)</f>
        <v>0</v>
      </c>
      <c r="P75" s="581">
        <f>SUMIF('CF.2'!$H$102:$H$108,'CF.1'!E75,'CF.2'!$J$102:$J$108)+SUMIF('CF.2'!$K$102:$K$108,'CF.1'!E75,'CF.2'!$M$102:$M$108)</f>
        <v>0</v>
      </c>
      <c r="Q75" s="581">
        <f>SUMIF('CF.2'!$H$113:$H$121,'CF.1'!E75,'CF.2'!$J$113:$J$121)+SUMIF('CF.2'!$K$113:$K$121,'CF.1'!E75,'CF.2'!$M$113:$M$121)</f>
        <v>0</v>
      </c>
      <c r="R75" s="582">
        <f t="shared" ref="R75:R124" si="11">SUM(M75:Q75)</f>
        <v>0</v>
      </c>
      <c r="T75" s="584">
        <f t="shared" ref="T75:T106" si="12">ROUND(R75+K75,0)</f>
        <v>-48978076</v>
      </c>
    </row>
    <row r="76" spans="3:20" ht="18" customHeight="1">
      <c r="C76" s="6">
        <v>1</v>
      </c>
      <c r="D76" s="578" t="s">
        <v>809</v>
      </c>
      <c r="E76" s="579" t="s">
        <v>809</v>
      </c>
      <c r="F76" s="580" t="s">
        <v>1464</v>
      </c>
      <c r="G76" s="579" t="s">
        <v>810</v>
      </c>
      <c r="H76" s="581">
        <v>0</v>
      </c>
      <c r="I76" s="581">
        <v>0</v>
      </c>
      <c r="J76" s="581">
        <v>0</v>
      </c>
      <c r="K76" s="582">
        <f t="shared" si="10"/>
        <v>0</v>
      </c>
      <c r="M76" s="583">
        <f>SUMIF('CF.2'!$H$5:$H$24,'CF.1'!E76,'CF.2'!$J$5:$J$24)-SUMIF('CF.2'!$K$5:$K$24,'CF.1'!E76,'CF.2'!$M$5:$M$24)</f>
        <v>0</v>
      </c>
      <c r="N76" s="581">
        <f>SUMIF('CF.2'!$H$30:$H$59,'CF.1'!E76,'CF.2'!$J$30:$J$59)+SUMIF('CF.2'!$K$30:$K$59,'CF.1'!E76,'CF.2'!$M$30:$M$59)</f>
        <v>0</v>
      </c>
      <c r="O76" s="581">
        <f>SUMIF('CF.2'!$H$64:$H$98,'CF.1'!E76,'CF.2'!$J$64:$J$98)+SUMIF('CF.2'!$K$64:$K$98,'CF.1'!E76,'CF.2'!$M$64:$M$98)</f>
        <v>0</v>
      </c>
      <c r="P76" s="581">
        <f>SUMIF('CF.2'!$H$102:$H$108,'CF.1'!E76,'CF.2'!$J$102:$J$108)+SUMIF('CF.2'!$K$102:$K$108,'CF.1'!E76,'CF.2'!$M$102:$M$108)</f>
        <v>0</v>
      </c>
      <c r="Q76" s="581">
        <f>SUMIF('CF.2'!$H$113:$H$121,'CF.1'!E76,'CF.2'!$J$113:$J$121)+SUMIF('CF.2'!$K$113:$K$121,'CF.1'!E76,'CF.2'!$M$113:$M$121)</f>
        <v>0</v>
      </c>
      <c r="R76" s="582">
        <f t="shared" si="11"/>
        <v>0</v>
      </c>
      <c r="T76" s="584">
        <f t="shared" si="12"/>
        <v>0</v>
      </c>
    </row>
    <row r="77" spans="3:20" ht="18" customHeight="1">
      <c r="C77" s="6">
        <v>1</v>
      </c>
      <c r="D77" s="578" t="s">
        <v>811</v>
      </c>
      <c r="E77" s="579" t="s">
        <v>811</v>
      </c>
      <c r="F77" s="580" t="s">
        <v>883</v>
      </c>
      <c r="G77" s="579" t="s">
        <v>812</v>
      </c>
      <c r="H77" s="581">
        <v>0</v>
      </c>
      <c r="I77" s="581">
        <v>0</v>
      </c>
      <c r="J77" s="581">
        <v>0</v>
      </c>
      <c r="K77" s="582">
        <f t="shared" si="10"/>
        <v>0</v>
      </c>
      <c r="M77" s="583">
        <f>SUMIF('CF.2'!$H$5:$H$24,'CF.1'!E77,'CF.2'!$J$5:$J$24)-SUMIF('CF.2'!$K$5:$K$24,'CF.1'!E77,'CF.2'!$M$5:$M$24)</f>
        <v>0</v>
      </c>
      <c r="N77" s="581">
        <f>SUMIF('CF.2'!$H$30:$H$59,'CF.1'!E77,'CF.2'!$J$30:$J$59)+SUMIF('CF.2'!$K$30:$K$59,'CF.1'!E77,'CF.2'!$M$30:$M$59)</f>
        <v>0</v>
      </c>
      <c r="O77" s="581">
        <f>SUMIF('CF.2'!$H$64:$H$98,'CF.1'!E77,'CF.2'!$J$64:$J$98)+SUMIF('CF.2'!$K$64:$K$98,'CF.1'!E77,'CF.2'!$M$64:$M$98)</f>
        <v>0</v>
      </c>
      <c r="P77" s="581">
        <f>SUMIF('CF.2'!$H$102:$H$108,'CF.1'!E77,'CF.2'!$J$102:$J$108)+SUMIF('CF.2'!$K$102:$K$108,'CF.1'!E77,'CF.2'!$M$102:$M$108)</f>
        <v>0</v>
      </c>
      <c r="Q77" s="581">
        <f>SUMIF('CF.2'!$H$113:$H$121,'CF.1'!E77,'CF.2'!$J$113:$J$121)+SUMIF('CF.2'!$K$113:$K$121,'CF.1'!E77,'CF.2'!$M$113:$M$121)</f>
        <v>0</v>
      </c>
      <c r="R77" s="582">
        <f t="shared" si="11"/>
        <v>0</v>
      </c>
      <c r="T77" s="584">
        <f t="shared" si="12"/>
        <v>0</v>
      </c>
    </row>
    <row r="78" spans="3:20" ht="18" customHeight="1">
      <c r="C78" s="6">
        <v>1</v>
      </c>
      <c r="D78" s="578" t="s">
        <v>813</v>
      </c>
      <c r="E78" s="579" t="s">
        <v>813</v>
      </c>
      <c r="F78" s="580"/>
      <c r="G78" s="579" t="s">
        <v>814</v>
      </c>
      <c r="H78" s="581">
        <v>0</v>
      </c>
      <c r="I78" s="581">
        <v>0</v>
      </c>
      <c r="J78" s="581">
        <v>0</v>
      </c>
      <c r="K78" s="582">
        <f t="shared" si="10"/>
        <v>0</v>
      </c>
      <c r="M78" s="583">
        <f>SUMIF('CF.2'!$H$5:$H$24,'CF.1'!E78,'CF.2'!$J$5:$J$24)-SUMIF('CF.2'!$K$5:$K$24,'CF.1'!E78,'CF.2'!$M$5:$M$24)</f>
        <v>0</v>
      </c>
      <c r="N78" s="581">
        <f>SUMIF('CF.2'!$H$30:$H$59,'CF.1'!E78,'CF.2'!$J$30:$J$59)+SUMIF('CF.2'!$K$30:$K$59,'CF.1'!E78,'CF.2'!$M$30:$M$59)</f>
        <v>0</v>
      </c>
      <c r="O78" s="581">
        <f>SUMIF('CF.2'!$H$64:$H$98,'CF.1'!E78,'CF.2'!$J$64:$J$98)+SUMIF('CF.2'!$K$64:$K$98,'CF.1'!E78,'CF.2'!$M$64:$M$98)</f>
        <v>0</v>
      </c>
      <c r="P78" s="581">
        <f>SUMIF('CF.2'!$H$102:$H$108,'CF.1'!E78,'CF.2'!$J$102:$J$108)+SUMIF('CF.2'!$K$102:$K$108,'CF.1'!E78,'CF.2'!$M$102:$M$108)</f>
        <v>0</v>
      </c>
      <c r="Q78" s="581">
        <f>SUMIF('CF.2'!$H$113:$H$121,'CF.1'!E78,'CF.2'!$J$113:$J$121)+SUMIF('CF.2'!$K$113:$K$121,'CF.1'!E78,'CF.2'!$M$113:$M$121)</f>
        <v>0</v>
      </c>
      <c r="R78" s="582">
        <f t="shared" si="11"/>
        <v>0</v>
      </c>
      <c r="T78" s="584">
        <f t="shared" si="12"/>
        <v>0</v>
      </c>
    </row>
    <row r="79" spans="3:20" ht="18" customHeight="1">
      <c r="C79" s="6">
        <v>1</v>
      </c>
      <c r="D79" s="578" t="s">
        <v>815</v>
      </c>
      <c r="E79" s="579" t="s">
        <v>815</v>
      </c>
      <c r="F79" s="580"/>
      <c r="G79" s="579" t="s">
        <v>816</v>
      </c>
      <c r="H79" s="581">
        <v>0</v>
      </c>
      <c r="I79" s="581">
        <v>0</v>
      </c>
      <c r="J79" s="581">
        <v>0</v>
      </c>
      <c r="K79" s="582">
        <f t="shared" si="10"/>
        <v>0</v>
      </c>
      <c r="M79" s="583">
        <f>SUMIF('CF.2'!$H$5:$H$24,'CF.1'!E79,'CF.2'!$J$5:$J$24)-SUMIF('CF.2'!$K$5:$K$24,'CF.1'!E79,'CF.2'!$M$5:$M$24)</f>
        <v>0</v>
      </c>
      <c r="N79" s="581">
        <f>SUMIF('CF.2'!$H$30:$H$59,'CF.1'!E79,'CF.2'!$J$30:$J$59)+SUMIF('CF.2'!$K$30:$K$59,'CF.1'!E79,'CF.2'!$M$30:$M$59)</f>
        <v>0</v>
      </c>
      <c r="O79" s="581">
        <f>SUMIF('CF.2'!$H$64:$H$98,'CF.1'!E79,'CF.2'!$J$64:$J$98)+SUMIF('CF.2'!$K$64:$K$98,'CF.1'!E79,'CF.2'!$M$64:$M$98)</f>
        <v>0</v>
      </c>
      <c r="P79" s="581">
        <f>SUMIF('CF.2'!$H$102:$H$108,'CF.1'!E79,'CF.2'!$J$102:$J$108)+SUMIF('CF.2'!$K$102:$K$108,'CF.1'!E79,'CF.2'!$M$102:$M$108)</f>
        <v>0</v>
      </c>
      <c r="Q79" s="581">
        <f>SUMIF('CF.2'!$H$113:$H$121,'CF.1'!E79,'CF.2'!$J$113:$J$121)+SUMIF('CF.2'!$K$113:$K$121,'CF.1'!E79,'CF.2'!$M$113:$M$121)</f>
        <v>0</v>
      </c>
      <c r="R79" s="582">
        <f t="shared" si="11"/>
        <v>0</v>
      </c>
      <c r="T79" s="584">
        <f t="shared" si="12"/>
        <v>0</v>
      </c>
    </row>
    <row r="80" spans="3:20" ht="18" customHeight="1">
      <c r="C80" s="6">
        <v>1</v>
      </c>
      <c r="D80" s="578" t="s">
        <v>817</v>
      </c>
      <c r="E80" s="579" t="s">
        <v>817</v>
      </c>
      <c r="F80" s="580" t="s">
        <v>1520</v>
      </c>
      <c r="G80" s="579" t="s">
        <v>818</v>
      </c>
      <c r="H80" s="581">
        <v>0</v>
      </c>
      <c r="I80" s="581">
        <v>0</v>
      </c>
      <c r="J80" s="581">
        <v>0</v>
      </c>
      <c r="K80" s="582">
        <f t="shared" si="10"/>
        <v>0</v>
      </c>
      <c r="M80" s="583">
        <f>SUMIF('CF.2'!$H$5:$H$24,'CF.1'!E80,'CF.2'!$J$5:$J$24)-SUMIF('CF.2'!$K$5:$K$24,'CF.1'!E80,'CF.2'!$M$5:$M$24)</f>
        <v>0</v>
      </c>
      <c r="N80" s="581">
        <f>SUMIF('CF.2'!$H$30:$H$59,'CF.1'!E80,'CF.2'!$J$30:$J$59)+SUMIF('CF.2'!$K$30:$K$59,'CF.1'!E80,'CF.2'!$M$30:$M$59)</f>
        <v>0</v>
      </c>
      <c r="O80" s="581">
        <f>SUMIF('CF.2'!$H$64:$H$98,'CF.1'!E80,'CF.2'!$J$64:$J$98)+SUMIF('CF.2'!$K$64:$K$98,'CF.1'!E80,'CF.2'!$M$64:$M$98)</f>
        <v>0</v>
      </c>
      <c r="P80" s="581">
        <f>SUMIF('CF.2'!$H$102:$H$108,'CF.1'!E80,'CF.2'!$J$102:$J$108)+SUMIF('CF.2'!$K$102:$K$108,'CF.1'!E80,'CF.2'!$M$102:$M$108)</f>
        <v>0</v>
      </c>
      <c r="Q80" s="581">
        <f>SUMIF('CF.2'!$H$113:$H$121,'CF.1'!E80,'CF.2'!$J$113:$J$121)+SUMIF('CF.2'!$K$113:$K$121,'CF.1'!E80,'CF.2'!$M$113:$M$121)</f>
        <v>0</v>
      </c>
      <c r="R80" s="582">
        <f t="shared" si="11"/>
        <v>0</v>
      </c>
      <c r="T80" s="584">
        <f t="shared" si="12"/>
        <v>0</v>
      </c>
    </row>
    <row r="81" spans="3:20" ht="18" customHeight="1">
      <c r="C81" s="6">
        <v>1</v>
      </c>
      <c r="D81" s="578" t="s">
        <v>819</v>
      </c>
      <c r="E81" s="579" t="s">
        <v>819</v>
      </c>
      <c r="F81" s="580"/>
      <c r="G81" s="579" t="s">
        <v>820</v>
      </c>
      <c r="H81" s="581">
        <v>0</v>
      </c>
      <c r="I81" s="581">
        <v>0</v>
      </c>
      <c r="J81" s="581">
        <v>0</v>
      </c>
      <c r="K81" s="582">
        <f t="shared" si="10"/>
        <v>0</v>
      </c>
      <c r="M81" s="583">
        <f>SUMIF('CF.2'!$H$5:$H$24,'CF.1'!E81,'CF.2'!$J$5:$J$24)-SUMIF('CF.2'!$K$5:$K$24,'CF.1'!E81,'CF.2'!$M$5:$M$24)</f>
        <v>0</v>
      </c>
      <c r="N81" s="581">
        <f>SUMIF('CF.2'!$H$30:$H$59,'CF.1'!E81,'CF.2'!$J$30:$J$59)+SUMIF('CF.2'!$K$30:$K$59,'CF.1'!E81,'CF.2'!$M$30:$M$59)</f>
        <v>0</v>
      </c>
      <c r="O81" s="581">
        <f>SUMIF('CF.2'!$H$64:$H$98,'CF.1'!E81,'CF.2'!$J$64:$J$98)+SUMIF('CF.2'!$K$64:$K$98,'CF.1'!E81,'CF.2'!$M$64:$M$98)</f>
        <v>0</v>
      </c>
      <c r="P81" s="581">
        <f>SUMIF('CF.2'!$H$102:$H$108,'CF.1'!E81,'CF.2'!$J$102:$J$108)+SUMIF('CF.2'!$K$102:$K$108,'CF.1'!E81,'CF.2'!$M$102:$M$108)</f>
        <v>0</v>
      </c>
      <c r="Q81" s="581">
        <f>SUMIF('CF.2'!$H$113:$H$121,'CF.1'!E81,'CF.2'!$J$113:$J$121)+SUMIF('CF.2'!$K$113:$K$121,'CF.1'!E81,'CF.2'!$M$113:$M$121)</f>
        <v>0</v>
      </c>
      <c r="R81" s="582">
        <f t="shared" si="11"/>
        <v>0</v>
      </c>
      <c r="T81" s="584">
        <f t="shared" si="12"/>
        <v>0</v>
      </c>
    </row>
    <row r="82" spans="3:20" ht="18" customHeight="1">
      <c r="C82" s="6">
        <v>1</v>
      </c>
      <c r="D82" s="578" t="s">
        <v>821</v>
      </c>
      <c r="E82" s="579" t="s">
        <v>821</v>
      </c>
      <c r="F82" s="580"/>
      <c r="G82" s="579" t="s">
        <v>822</v>
      </c>
      <c r="H82" s="581">
        <v>0</v>
      </c>
      <c r="I82" s="581">
        <v>0</v>
      </c>
      <c r="J82" s="581">
        <v>0</v>
      </c>
      <c r="K82" s="582">
        <f t="shared" si="10"/>
        <v>0</v>
      </c>
      <c r="M82" s="583">
        <f>SUMIF('CF.2'!$H$5:$H$24,'CF.1'!E82,'CF.2'!$J$5:$J$24)-SUMIF('CF.2'!$K$5:$K$24,'CF.1'!E82,'CF.2'!$M$5:$M$24)</f>
        <v>0</v>
      </c>
      <c r="N82" s="581">
        <f>SUMIF('CF.2'!$H$30:$H$59,'CF.1'!E82,'CF.2'!$J$30:$J$59)+SUMIF('CF.2'!$K$30:$K$59,'CF.1'!E82,'CF.2'!$M$30:$M$59)</f>
        <v>0</v>
      </c>
      <c r="O82" s="581">
        <f>SUMIF('CF.2'!$H$64:$H$98,'CF.1'!E82,'CF.2'!$J$64:$J$98)+SUMIF('CF.2'!$K$64:$K$98,'CF.1'!E82,'CF.2'!$M$64:$M$98)</f>
        <v>0</v>
      </c>
      <c r="P82" s="581">
        <f>SUMIF('CF.2'!$H$102:$H$108,'CF.1'!E82,'CF.2'!$J$102:$J$108)+SUMIF('CF.2'!$K$102:$K$108,'CF.1'!E82,'CF.2'!$M$102:$M$108)</f>
        <v>0</v>
      </c>
      <c r="Q82" s="581">
        <f>SUMIF('CF.2'!$H$113:$H$121,'CF.1'!E82,'CF.2'!$J$113:$J$121)+SUMIF('CF.2'!$K$113:$K$121,'CF.1'!E82,'CF.2'!$M$113:$M$121)</f>
        <v>0</v>
      </c>
      <c r="R82" s="582">
        <f t="shared" si="11"/>
        <v>0</v>
      </c>
      <c r="T82" s="584">
        <f t="shared" si="12"/>
        <v>0</v>
      </c>
    </row>
    <row r="83" spans="3:20" ht="18" customHeight="1">
      <c r="C83" s="6">
        <v>1</v>
      </c>
      <c r="D83" s="578" t="s">
        <v>823</v>
      </c>
      <c r="E83" s="579" t="s">
        <v>823</v>
      </c>
      <c r="F83" s="580"/>
      <c r="G83" s="579" t="s">
        <v>824</v>
      </c>
      <c r="H83" s="581">
        <v>0</v>
      </c>
      <c r="I83" s="581">
        <v>0</v>
      </c>
      <c r="J83" s="581">
        <v>0</v>
      </c>
      <c r="K83" s="582">
        <f t="shared" si="10"/>
        <v>0</v>
      </c>
      <c r="M83" s="583">
        <f>SUMIF('CF.2'!$H$5:$H$24,'CF.1'!E83,'CF.2'!$J$5:$J$24)-SUMIF('CF.2'!$K$5:$K$24,'CF.1'!E83,'CF.2'!$M$5:$M$24)</f>
        <v>0</v>
      </c>
      <c r="N83" s="581">
        <f>SUMIF('CF.2'!$H$30:$H$59,'CF.1'!E83,'CF.2'!$J$30:$J$59)+SUMIF('CF.2'!$K$30:$K$59,'CF.1'!E83,'CF.2'!$M$30:$M$59)</f>
        <v>0</v>
      </c>
      <c r="O83" s="581">
        <f>SUMIF('CF.2'!$H$64:$H$98,'CF.1'!E83,'CF.2'!$J$64:$J$98)+SUMIF('CF.2'!$K$64:$K$98,'CF.1'!E83,'CF.2'!$M$64:$M$98)</f>
        <v>0</v>
      </c>
      <c r="P83" s="581">
        <f>SUMIF('CF.2'!$H$102:$H$108,'CF.1'!E83,'CF.2'!$J$102:$J$108)+SUMIF('CF.2'!$K$102:$K$108,'CF.1'!E83,'CF.2'!$M$102:$M$108)</f>
        <v>0</v>
      </c>
      <c r="Q83" s="581">
        <f>SUMIF('CF.2'!$H$113:$H$121,'CF.1'!E83,'CF.2'!$J$113:$J$121)+SUMIF('CF.2'!$K$113:$K$121,'CF.1'!E83,'CF.2'!$M$113:$M$121)</f>
        <v>0</v>
      </c>
      <c r="R83" s="582">
        <f t="shared" si="11"/>
        <v>0</v>
      </c>
      <c r="T83" s="584">
        <f t="shared" si="12"/>
        <v>0</v>
      </c>
    </row>
    <row r="84" spans="3:20" ht="18" customHeight="1">
      <c r="C84" s="6">
        <v>1</v>
      </c>
      <c r="D84" s="578" t="s">
        <v>825</v>
      </c>
      <c r="E84" s="579" t="s">
        <v>825</v>
      </c>
      <c r="F84" s="580"/>
      <c r="G84" s="579" t="s">
        <v>826</v>
      </c>
      <c r="H84" s="581">
        <v>0</v>
      </c>
      <c r="I84" s="581">
        <v>0</v>
      </c>
      <c r="J84" s="581">
        <v>0</v>
      </c>
      <c r="K84" s="582">
        <f t="shared" si="10"/>
        <v>0</v>
      </c>
      <c r="M84" s="583">
        <f>SUMIF('CF.2'!$H$5:$H$24,'CF.1'!E84,'CF.2'!$J$5:$J$24)-SUMIF('CF.2'!$K$5:$K$24,'CF.1'!E84,'CF.2'!$M$5:$M$24)</f>
        <v>0</v>
      </c>
      <c r="N84" s="581">
        <f>SUMIF('CF.2'!$H$30:$H$59,'CF.1'!E84,'CF.2'!$J$30:$J$59)+SUMIF('CF.2'!$K$30:$K$59,'CF.1'!E84,'CF.2'!$M$30:$M$59)</f>
        <v>0</v>
      </c>
      <c r="O84" s="581">
        <f>SUMIF('CF.2'!$H$64:$H$98,'CF.1'!E84,'CF.2'!$J$64:$J$98)+SUMIF('CF.2'!$K$64:$K$98,'CF.1'!E84,'CF.2'!$M$64:$M$98)</f>
        <v>0</v>
      </c>
      <c r="P84" s="581">
        <f>SUMIF('CF.2'!$H$102:$H$108,'CF.1'!E84,'CF.2'!$J$102:$J$108)+SUMIF('CF.2'!$K$102:$K$108,'CF.1'!E84,'CF.2'!$M$102:$M$108)</f>
        <v>0</v>
      </c>
      <c r="Q84" s="581">
        <f>SUMIF('CF.2'!$H$113:$H$121,'CF.1'!E84,'CF.2'!$J$113:$J$121)+SUMIF('CF.2'!$K$113:$K$121,'CF.1'!E84,'CF.2'!$M$113:$M$121)</f>
        <v>0</v>
      </c>
      <c r="R84" s="582">
        <f t="shared" si="11"/>
        <v>0</v>
      </c>
      <c r="T84" s="584">
        <f t="shared" si="12"/>
        <v>0</v>
      </c>
    </row>
    <row r="85" spans="3:20" ht="18" customHeight="1">
      <c r="C85" s="6">
        <v>1</v>
      </c>
      <c r="D85" s="578" t="s">
        <v>827</v>
      </c>
      <c r="E85" s="579" t="s">
        <v>827</v>
      </c>
      <c r="F85" s="580"/>
      <c r="G85" s="579" t="s">
        <v>828</v>
      </c>
      <c r="H85" s="581">
        <v>0</v>
      </c>
      <c r="I85" s="581">
        <v>0</v>
      </c>
      <c r="J85" s="581">
        <v>0</v>
      </c>
      <c r="K85" s="582">
        <f t="shared" si="10"/>
        <v>0</v>
      </c>
      <c r="M85" s="583">
        <f>SUMIF('CF.2'!$H$5:$H$24,'CF.1'!E85,'CF.2'!$J$5:$J$24)-SUMIF('CF.2'!$K$5:$K$24,'CF.1'!E85,'CF.2'!$M$5:$M$24)</f>
        <v>0</v>
      </c>
      <c r="N85" s="581">
        <f>SUMIF('CF.2'!$H$30:$H$59,'CF.1'!E85,'CF.2'!$J$30:$J$59)+SUMIF('CF.2'!$K$30:$K$59,'CF.1'!E85,'CF.2'!$M$30:$M$59)</f>
        <v>0</v>
      </c>
      <c r="O85" s="581">
        <f>SUMIF('CF.2'!$H$64:$H$98,'CF.1'!E85,'CF.2'!$J$64:$J$98)+SUMIF('CF.2'!$K$64:$K$98,'CF.1'!E85,'CF.2'!$M$64:$M$98)</f>
        <v>0</v>
      </c>
      <c r="P85" s="581">
        <f>SUMIF('CF.2'!$H$102:$H$108,'CF.1'!E85,'CF.2'!$J$102:$J$108)+SUMIF('CF.2'!$K$102:$K$108,'CF.1'!E85,'CF.2'!$M$102:$M$108)</f>
        <v>0</v>
      </c>
      <c r="Q85" s="581">
        <f>SUMIF('CF.2'!$H$113:$H$121,'CF.1'!E85,'CF.2'!$J$113:$J$121)+SUMIF('CF.2'!$K$113:$K$121,'CF.1'!E85,'CF.2'!$M$113:$M$121)</f>
        <v>0</v>
      </c>
      <c r="R85" s="582">
        <f t="shared" si="11"/>
        <v>0</v>
      </c>
      <c r="T85" s="584">
        <f t="shared" si="12"/>
        <v>0</v>
      </c>
    </row>
    <row r="86" spans="3:20" ht="18" customHeight="1">
      <c r="C86" s="6">
        <v>1</v>
      </c>
      <c r="D86" s="578" t="s">
        <v>829</v>
      </c>
      <c r="E86" s="579" t="s">
        <v>829</v>
      </c>
      <c r="F86" s="580"/>
      <c r="G86" s="579" t="s">
        <v>830</v>
      </c>
      <c r="H86" s="581">
        <v>0</v>
      </c>
      <c r="I86" s="581">
        <v>0</v>
      </c>
      <c r="J86" s="581">
        <v>0</v>
      </c>
      <c r="K86" s="582">
        <f t="shared" si="10"/>
        <v>0</v>
      </c>
      <c r="M86" s="583">
        <f>SUMIF('CF.2'!$H$5:$H$24,'CF.1'!E86,'CF.2'!$J$5:$J$24)-SUMIF('CF.2'!$K$5:$K$24,'CF.1'!E86,'CF.2'!$M$5:$M$24)</f>
        <v>0</v>
      </c>
      <c r="N86" s="581">
        <f>SUMIF('CF.2'!$H$30:$H$59,'CF.1'!E86,'CF.2'!$J$30:$J$59)+SUMIF('CF.2'!$K$30:$K$59,'CF.1'!E86,'CF.2'!$M$30:$M$59)</f>
        <v>0</v>
      </c>
      <c r="O86" s="581">
        <f>SUMIF('CF.2'!$H$64:$H$98,'CF.1'!E86,'CF.2'!$J$64:$J$98)+SUMIF('CF.2'!$K$64:$K$98,'CF.1'!E86,'CF.2'!$M$64:$M$98)</f>
        <v>0</v>
      </c>
      <c r="P86" s="581">
        <f>SUMIF('CF.2'!$H$102:$H$108,'CF.1'!E86,'CF.2'!$J$102:$J$108)+SUMIF('CF.2'!$K$102:$K$108,'CF.1'!E86,'CF.2'!$M$102:$M$108)</f>
        <v>0</v>
      </c>
      <c r="Q86" s="581">
        <f>SUMIF('CF.2'!$H$113:$H$121,'CF.1'!E86,'CF.2'!$J$113:$J$121)+SUMIF('CF.2'!$K$113:$K$121,'CF.1'!E86,'CF.2'!$M$113:$M$121)</f>
        <v>0</v>
      </c>
      <c r="R86" s="582">
        <f t="shared" si="11"/>
        <v>0</v>
      </c>
      <c r="T86" s="584">
        <f t="shared" si="12"/>
        <v>0</v>
      </c>
    </row>
    <row r="87" spans="3:20" ht="18" customHeight="1">
      <c r="C87" s="6">
        <v>1</v>
      </c>
      <c r="D87" s="578" t="s">
        <v>831</v>
      </c>
      <c r="E87" s="579" t="s">
        <v>831</v>
      </c>
      <c r="F87" s="580"/>
      <c r="G87" s="579" t="s">
        <v>832</v>
      </c>
      <c r="H87" s="581">
        <v>0</v>
      </c>
      <c r="I87" s="581">
        <v>0</v>
      </c>
      <c r="J87" s="581">
        <v>0</v>
      </c>
      <c r="K87" s="582">
        <f t="shared" si="10"/>
        <v>0</v>
      </c>
      <c r="M87" s="583">
        <f>SUMIF('CF.2'!$H$5:$H$24,'CF.1'!E87,'CF.2'!$J$5:$J$24)-SUMIF('CF.2'!$K$5:$K$24,'CF.1'!E87,'CF.2'!$M$5:$M$24)</f>
        <v>0</v>
      </c>
      <c r="N87" s="581">
        <f>SUMIF('CF.2'!$H$30:$H$59,'CF.1'!E87,'CF.2'!$J$30:$J$59)+SUMIF('CF.2'!$K$30:$K$59,'CF.1'!E87,'CF.2'!$M$30:$M$59)</f>
        <v>0</v>
      </c>
      <c r="O87" s="581">
        <f>SUMIF('CF.2'!$H$64:$H$98,'CF.1'!E87,'CF.2'!$J$64:$J$98)+SUMIF('CF.2'!$K$64:$K$98,'CF.1'!E87,'CF.2'!$M$64:$M$98)</f>
        <v>0</v>
      </c>
      <c r="P87" s="581">
        <f>SUMIF('CF.2'!$H$102:$H$108,'CF.1'!E87,'CF.2'!$J$102:$J$108)+SUMIF('CF.2'!$K$102:$K$108,'CF.1'!E87,'CF.2'!$M$102:$M$108)</f>
        <v>0</v>
      </c>
      <c r="Q87" s="581">
        <f>SUMIF('CF.2'!$H$113:$H$121,'CF.1'!E87,'CF.2'!$J$113:$J$121)+SUMIF('CF.2'!$K$113:$K$121,'CF.1'!E87,'CF.2'!$M$113:$M$121)</f>
        <v>0</v>
      </c>
      <c r="R87" s="582">
        <f t="shared" si="11"/>
        <v>0</v>
      </c>
      <c r="T87" s="584">
        <f t="shared" si="12"/>
        <v>0</v>
      </c>
    </row>
    <row r="88" spans="3:20" ht="18" customHeight="1">
      <c r="C88" s="6">
        <v>1</v>
      </c>
      <c r="D88" s="578" t="s">
        <v>833</v>
      </c>
      <c r="E88" s="579" t="s">
        <v>833</v>
      </c>
      <c r="F88" s="580"/>
      <c r="G88" s="579" t="s">
        <v>834</v>
      </c>
      <c r="H88" s="581">
        <v>0</v>
      </c>
      <c r="I88" s="581">
        <v>0</v>
      </c>
      <c r="J88" s="581">
        <v>0</v>
      </c>
      <c r="K88" s="582">
        <f t="shared" si="10"/>
        <v>0</v>
      </c>
      <c r="M88" s="583">
        <f>SUMIF('CF.2'!$H$5:$H$24,'CF.1'!E88,'CF.2'!$J$5:$J$24)-SUMIF('CF.2'!$K$5:$K$24,'CF.1'!E88,'CF.2'!$M$5:$M$24)</f>
        <v>0</v>
      </c>
      <c r="N88" s="581">
        <f>SUMIF('CF.2'!$H$30:$H$59,'CF.1'!E88,'CF.2'!$J$30:$J$59)+SUMIF('CF.2'!$K$30:$K$59,'CF.1'!E88,'CF.2'!$M$30:$M$59)</f>
        <v>0</v>
      </c>
      <c r="O88" s="581">
        <f>SUMIF('CF.2'!$H$64:$H$98,'CF.1'!E88,'CF.2'!$J$64:$J$98)+SUMIF('CF.2'!$K$64:$K$98,'CF.1'!E88,'CF.2'!$M$64:$M$98)</f>
        <v>0</v>
      </c>
      <c r="P88" s="581">
        <f>SUMIF('CF.2'!$H$102:$H$108,'CF.1'!E88,'CF.2'!$J$102:$J$108)+SUMIF('CF.2'!$K$102:$K$108,'CF.1'!E88,'CF.2'!$M$102:$M$108)</f>
        <v>0</v>
      </c>
      <c r="Q88" s="581">
        <f>SUMIF('CF.2'!$H$113:$H$121,'CF.1'!E88,'CF.2'!$J$113:$J$121)+SUMIF('CF.2'!$K$113:$K$121,'CF.1'!E88,'CF.2'!$M$113:$M$121)</f>
        <v>0</v>
      </c>
      <c r="R88" s="582">
        <f t="shared" si="11"/>
        <v>0</v>
      </c>
      <c r="T88" s="584">
        <f t="shared" si="12"/>
        <v>0</v>
      </c>
    </row>
    <row r="89" spans="3:20" ht="18" customHeight="1">
      <c r="C89" s="6">
        <v>1</v>
      </c>
      <c r="D89" s="578" t="s">
        <v>835</v>
      </c>
      <c r="E89" s="579" t="s">
        <v>835</v>
      </c>
      <c r="F89" s="580" t="s">
        <v>679</v>
      </c>
      <c r="G89" s="579" t="s">
        <v>679</v>
      </c>
      <c r="H89" s="581">
        <v>-2240200</v>
      </c>
      <c r="I89" s="581">
        <v>0</v>
      </c>
      <c r="J89" s="581">
        <v>0</v>
      </c>
      <c r="K89" s="582">
        <f t="shared" si="10"/>
        <v>-2240200</v>
      </c>
      <c r="M89" s="583">
        <f>SUMIF('CF.2'!$H$5:$H$24,'CF.1'!E89,'CF.2'!$J$5:$J$24)-SUMIF('CF.2'!$K$5:$K$24,'CF.1'!E89,'CF.2'!$M$5:$M$24)</f>
        <v>0</v>
      </c>
      <c r="N89" s="581">
        <f>SUMIF('CF.2'!$H$30:$H$59,'CF.1'!E89,'CF.2'!$J$30:$J$59)+SUMIF('CF.2'!$K$30:$K$59,'CF.1'!E89,'CF.2'!$M$30:$M$59)</f>
        <v>0</v>
      </c>
      <c r="O89" s="581">
        <f>SUMIF('CF.2'!$H$64:$H$98,'CF.1'!E89,'CF.2'!$J$64:$J$98)+SUMIF('CF.2'!$K$64:$K$98,'CF.1'!E89,'CF.2'!$M$64:$M$98)</f>
        <v>0</v>
      </c>
      <c r="P89" s="581">
        <f>SUMIF('CF.2'!$H$102:$H$108,'CF.1'!E89,'CF.2'!$J$102:$J$108)+SUMIF('CF.2'!$K$102:$K$108,'CF.1'!E89,'CF.2'!$M$102:$M$108)</f>
        <v>0</v>
      </c>
      <c r="Q89" s="581">
        <f>SUMIF('CF.2'!$H$113:$H$121,'CF.1'!E89,'CF.2'!$J$113:$J$121)+SUMIF('CF.2'!$K$113:$K$121,'CF.1'!E89,'CF.2'!$M$113:$M$121)</f>
        <v>0</v>
      </c>
      <c r="R89" s="582">
        <f t="shared" si="11"/>
        <v>0</v>
      </c>
      <c r="T89" s="584">
        <f t="shared" si="12"/>
        <v>-2240200</v>
      </c>
    </row>
    <row r="90" spans="3:20" ht="18" customHeight="1">
      <c r="C90" s="6">
        <v>1</v>
      </c>
      <c r="D90" s="578" t="s">
        <v>836</v>
      </c>
      <c r="E90" s="579" t="s">
        <v>836</v>
      </c>
      <c r="F90" s="580"/>
      <c r="G90" s="579" t="s">
        <v>837</v>
      </c>
      <c r="H90" s="581">
        <v>0</v>
      </c>
      <c r="I90" s="581">
        <v>0</v>
      </c>
      <c r="J90" s="581">
        <v>0</v>
      </c>
      <c r="K90" s="582">
        <f t="shared" si="10"/>
        <v>0</v>
      </c>
      <c r="M90" s="583">
        <f>SUMIF('CF.2'!$H$5:$H$24,'CF.1'!E90,'CF.2'!$J$5:$J$24)-SUMIF('CF.2'!$K$5:$K$24,'CF.1'!E90,'CF.2'!$M$5:$M$24)</f>
        <v>0</v>
      </c>
      <c r="N90" s="581">
        <f>SUMIF('CF.2'!$H$30:$H$59,'CF.1'!E90,'CF.2'!$J$30:$J$59)+SUMIF('CF.2'!$K$30:$K$59,'CF.1'!E90,'CF.2'!$M$30:$M$59)</f>
        <v>0</v>
      </c>
      <c r="O90" s="581">
        <f>SUMIF('CF.2'!$H$64:$H$98,'CF.1'!E90,'CF.2'!$J$64:$J$98)+SUMIF('CF.2'!$K$64:$K$98,'CF.1'!E90,'CF.2'!$M$64:$M$98)</f>
        <v>0</v>
      </c>
      <c r="P90" s="581">
        <f>SUMIF('CF.2'!$H$102:$H$108,'CF.1'!E90,'CF.2'!$J$102:$J$108)+SUMIF('CF.2'!$K$102:$K$108,'CF.1'!E90,'CF.2'!$M$102:$M$108)</f>
        <v>0</v>
      </c>
      <c r="Q90" s="581">
        <f>SUMIF('CF.2'!$H$113:$H$121,'CF.1'!E90,'CF.2'!$J$113:$J$121)+SUMIF('CF.2'!$K$113:$K$121,'CF.1'!E90,'CF.2'!$M$113:$M$121)</f>
        <v>0</v>
      </c>
      <c r="R90" s="582">
        <f t="shared" si="11"/>
        <v>0</v>
      </c>
      <c r="T90" s="584">
        <f t="shared" si="12"/>
        <v>0</v>
      </c>
    </row>
    <row r="91" spans="3:20" ht="18" customHeight="1">
      <c r="C91" s="6">
        <v>1</v>
      </c>
      <c r="D91" s="578" t="s">
        <v>838</v>
      </c>
      <c r="E91" s="579" t="s">
        <v>838</v>
      </c>
      <c r="F91" s="580" t="s">
        <v>680</v>
      </c>
      <c r="G91" s="579" t="s">
        <v>680</v>
      </c>
      <c r="H91" s="581">
        <v>0</v>
      </c>
      <c r="I91" s="581">
        <v>0</v>
      </c>
      <c r="J91" s="581">
        <v>0</v>
      </c>
      <c r="K91" s="582">
        <f t="shared" si="10"/>
        <v>0</v>
      </c>
      <c r="M91" s="583">
        <f>SUMIF('CF.2'!$H$5:$H$24,'CF.1'!E91,'CF.2'!$J$5:$J$24)-SUMIF('CF.2'!$K$5:$K$24,'CF.1'!E91,'CF.2'!$M$5:$M$24)</f>
        <v>0</v>
      </c>
      <c r="N91" s="581">
        <f>SUMIF('CF.2'!$H$30:$H$59,'CF.1'!E91,'CF.2'!$J$30:$J$59)+SUMIF('CF.2'!$K$30:$K$59,'CF.1'!E91,'CF.2'!$M$30:$M$59)</f>
        <v>0</v>
      </c>
      <c r="O91" s="581">
        <f>SUMIF('CF.2'!$H$64:$H$98,'CF.1'!E91,'CF.2'!$J$64:$J$98)+SUMIF('CF.2'!$K$64:$K$98,'CF.1'!E91,'CF.2'!$M$64:$M$98)</f>
        <v>0</v>
      </c>
      <c r="P91" s="581">
        <f>SUMIF('CF.2'!$H$102:$H$108,'CF.1'!E91,'CF.2'!$J$102:$J$108)+SUMIF('CF.2'!$K$102:$K$108,'CF.1'!E91,'CF.2'!$M$102:$M$108)</f>
        <v>0</v>
      </c>
      <c r="Q91" s="581">
        <f>SUMIF('CF.2'!$H$113:$H$121,'CF.1'!E91,'CF.2'!$J$113:$J$121)+SUMIF('CF.2'!$K$113:$K$121,'CF.1'!E91,'CF.2'!$M$113:$M$121)</f>
        <v>0</v>
      </c>
      <c r="R91" s="582">
        <f t="shared" si="11"/>
        <v>0</v>
      </c>
      <c r="T91" s="584">
        <f t="shared" si="12"/>
        <v>0</v>
      </c>
    </row>
    <row r="92" spans="3:20" ht="18" customHeight="1">
      <c r="C92" s="6">
        <v>1</v>
      </c>
      <c r="D92" s="578" t="s">
        <v>839</v>
      </c>
      <c r="E92" s="579" t="s">
        <v>839</v>
      </c>
      <c r="F92" s="580"/>
      <c r="G92" s="579" t="s">
        <v>840</v>
      </c>
      <c r="H92" s="581">
        <v>0</v>
      </c>
      <c r="I92" s="581">
        <v>0</v>
      </c>
      <c r="J92" s="581">
        <v>0</v>
      </c>
      <c r="K92" s="582">
        <f t="shared" si="10"/>
        <v>0</v>
      </c>
      <c r="M92" s="583">
        <f>SUMIF('CF.2'!$H$5:$H$24,'CF.1'!E92,'CF.2'!$J$5:$J$24)-SUMIF('CF.2'!$K$5:$K$24,'CF.1'!E92,'CF.2'!$M$5:$M$24)</f>
        <v>0</v>
      </c>
      <c r="N92" s="581">
        <f>SUMIF('CF.2'!$H$30:$H$59,'CF.1'!E92,'CF.2'!$J$30:$J$59)+SUMIF('CF.2'!$K$30:$K$59,'CF.1'!E92,'CF.2'!$M$30:$M$59)</f>
        <v>0</v>
      </c>
      <c r="O92" s="581">
        <f>SUMIF('CF.2'!$H$64:$H$98,'CF.1'!E92,'CF.2'!$J$64:$J$98)+SUMIF('CF.2'!$K$64:$K$98,'CF.1'!E92,'CF.2'!$M$64:$M$98)</f>
        <v>0</v>
      </c>
      <c r="P92" s="581">
        <f>SUMIF('CF.2'!$H$102:$H$108,'CF.1'!E92,'CF.2'!$J$102:$J$108)+SUMIF('CF.2'!$K$102:$K$108,'CF.1'!E92,'CF.2'!$M$102:$M$108)</f>
        <v>0</v>
      </c>
      <c r="Q92" s="581">
        <f>SUMIF('CF.2'!$H$113:$H$121,'CF.1'!E92,'CF.2'!$J$113:$J$121)+SUMIF('CF.2'!$K$113:$K$121,'CF.1'!E92,'CF.2'!$M$113:$M$121)</f>
        <v>0</v>
      </c>
      <c r="R92" s="582">
        <f t="shared" si="11"/>
        <v>0</v>
      </c>
      <c r="T92" s="584">
        <f t="shared" si="12"/>
        <v>0</v>
      </c>
    </row>
    <row r="93" spans="3:20" ht="18" customHeight="1">
      <c r="C93" s="6">
        <v>1</v>
      </c>
      <c r="D93" s="578" t="s">
        <v>841</v>
      </c>
      <c r="E93" s="579" t="s">
        <v>841</v>
      </c>
      <c r="F93" s="580"/>
      <c r="G93" s="579" t="s">
        <v>842</v>
      </c>
      <c r="H93" s="581">
        <v>0</v>
      </c>
      <c r="I93" s="581">
        <v>0</v>
      </c>
      <c r="J93" s="581">
        <v>0</v>
      </c>
      <c r="K93" s="582">
        <f t="shared" si="10"/>
        <v>0</v>
      </c>
      <c r="M93" s="583">
        <f>SUMIF('CF.2'!$H$5:$H$24,'CF.1'!E93,'CF.2'!$J$5:$J$24)-SUMIF('CF.2'!$K$5:$K$24,'CF.1'!E93,'CF.2'!$M$5:$M$24)</f>
        <v>0</v>
      </c>
      <c r="N93" s="581">
        <f>SUMIF('CF.2'!$H$30:$H$59,'CF.1'!E93,'CF.2'!$J$30:$J$59)+SUMIF('CF.2'!$K$30:$K$59,'CF.1'!E93,'CF.2'!$M$30:$M$59)</f>
        <v>0</v>
      </c>
      <c r="O93" s="581">
        <f>SUMIF('CF.2'!$H$64:$H$98,'CF.1'!E93,'CF.2'!$J$64:$J$98)+SUMIF('CF.2'!$K$64:$K$98,'CF.1'!E93,'CF.2'!$M$64:$M$98)</f>
        <v>0</v>
      </c>
      <c r="P93" s="581">
        <f>SUMIF('CF.2'!$H$102:$H$108,'CF.1'!E93,'CF.2'!$J$102:$J$108)+SUMIF('CF.2'!$K$102:$K$108,'CF.1'!E93,'CF.2'!$M$102:$M$108)</f>
        <v>0</v>
      </c>
      <c r="Q93" s="581">
        <f>SUMIF('CF.2'!$H$113:$H$121,'CF.1'!E93,'CF.2'!$J$113:$J$121)+SUMIF('CF.2'!$K$113:$K$121,'CF.1'!E93,'CF.2'!$M$113:$M$121)</f>
        <v>0</v>
      </c>
      <c r="R93" s="582">
        <f t="shared" si="11"/>
        <v>0</v>
      </c>
      <c r="T93" s="584">
        <f t="shared" si="12"/>
        <v>0</v>
      </c>
    </row>
    <row r="94" spans="3:20" ht="18" customHeight="1">
      <c r="C94" s="6">
        <v>1</v>
      </c>
      <c r="D94" s="578" t="s">
        <v>843</v>
      </c>
      <c r="E94" s="579" t="s">
        <v>843</v>
      </c>
      <c r="F94" s="580"/>
      <c r="G94" s="579" t="s">
        <v>844</v>
      </c>
      <c r="H94" s="581">
        <v>0</v>
      </c>
      <c r="I94" s="581">
        <v>0</v>
      </c>
      <c r="J94" s="581">
        <v>0</v>
      </c>
      <c r="K94" s="582">
        <f t="shared" si="10"/>
        <v>0</v>
      </c>
      <c r="M94" s="583">
        <f>SUMIF('CF.2'!$H$5:$H$24,'CF.1'!E94,'CF.2'!$J$5:$J$24)-SUMIF('CF.2'!$K$5:$K$24,'CF.1'!E94,'CF.2'!$M$5:$M$24)</f>
        <v>0</v>
      </c>
      <c r="N94" s="581">
        <f>SUMIF('CF.2'!$H$30:$H$59,'CF.1'!E94,'CF.2'!$J$30:$J$59)+SUMIF('CF.2'!$K$30:$K$59,'CF.1'!E94,'CF.2'!$M$30:$M$59)</f>
        <v>0</v>
      </c>
      <c r="O94" s="581">
        <f>SUMIF('CF.2'!$H$64:$H$98,'CF.1'!E94,'CF.2'!$J$64:$J$98)+SUMIF('CF.2'!$K$64:$K$98,'CF.1'!E94,'CF.2'!$M$64:$M$98)</f>
        <v>0</v>
      </c>
      <c r="P94" s="581">
        <f>SUMIF('CF.2'!$H$102:$H$108,'CF.1'!E94,'CF.2'!$J$102:$J$108)+SUMIF('CF.2'!$K$102:$K$108,'CF.1'!E94,'CF.2'!$M$102:$M$108)</f>
        <v>0</v>
      </c>
      <c r="Q94" s="581">
        <f>SUMIF('CF.2'!$H$113:$H$121,'CF.1'!E94,'CF.2'!$J$113:$J$121)+SUMIF('CF.2'!$K$113:$K$121,'CF.1'!E94,'CF.2'!$M$113:$M$121)</f>
        <v>0</v>
      </c>
      <c r="R94" s="582">
        <f t="shared" si="11"/>
        <v>0</v>
      </c>
      <c r="T94" s="584">
        <f t="shared" si="12"/>
        <v>0</v>
      </c>
    </row>
    <row r="95" spans="3:20" ht="18" customHeight="1">
      <c r="C95" s="6">
        <v>1</v>
      </c>
      <c r="D95" s="578" t="s">
        <v>845</v>
      </c>
      <c r="E95" s="579" t="s">
        <v>845</v>
      </c>
      <c r="F95" s="580"/>
      <c r="G95" s="579" t="s">
        <v>846</v>
      </c>
      <c r="H95" s="581">
        <v>0</v>
      </c>
      <c r="I95" s="581">
        <v>0</v>
      </c>
      <c r="J95" s="581">
        <v>0</v>
      </c>
      <c r="K95" s="582">
        <f t="shared" si="10"/>
        <v>0</v>
      </c>
      <c r="M95" s="583">
        <f>SUMIF('CF.2'!$H$5:$H$24,'CF.1'!E95,'CF.2'!$J$5:$J$24)-SUMIF('CF.2'!$K$5:$K$24,'CF.1'!E95,'CF.2'!$M$5:$M$24)</f>
        <v>0</v>
      </c>
      <c r="N95" s="581">
        <f>SUMIF('CF.2'!$H$30:$H$59,'CF.1'!E95,'CF.2'!$J$30:$J$59)+SUMIF('CF.2'!$K$30:$K$59,'CF.1'!E95,'CF.2'!$M$30:$M$59)</f>
        <v>0</v>
      </c>
      <c r="O95" s="581">
        <f>SUMIF('CF.2'!$H$64:$H$98,'CF.1'!E95,'CF.2'!$J$64:$J$98)+SUMIF('CF.2'!$K$64:$K$98,'CF.1'!E95,'CF.2'!$M$64:$M$98)</f>
        <v>0</v>
      </c>
      <c r="P95" s="581">
        <f>SUMIF('CF.2'!$H$102:$H$108,'CF.1'!E95,'CF.2'!$J$102:$J$108)+SUMIF('CF.2'!$K$102:$K$108,'CF.1'!E95,'CF.2'!$M$102:$M$108)</f>
        <v>0</v>
      </c>
      <c r="Q95" s="581">
        <f>SUMIF('CF.2'!$H$113:$H$121,'CF.1'!E95,'CF.2'!$J$113:$J$121)+SUMIF('CF.2'!$K$113:$K$121,'CF.1'!E95,'CF.2'!$M$113:$M$121)</f>
        <v>0</v>
      </c>
      <c r="R95" s="582">
        <f t="shared" si="11"/>
        <v>0</v>
      </c>
      <c r="T95" s="584">
        <f t="shared" si="12"/>
        <v>0</v>
      </c>
    </row>
    <row r="96" spans="3:20" ht="18" customHeight="1">
      <c r="C96" s="6">
        <v>1</v>
      </c>
      <c r="D96" s="578" t="s">
        <v>847</v>
      </c>
      <c r="E96" s="579" t="s">
        <v>847</v>
      </c>
      <c r="F96" s="580"/>
      <c r="G96" s="579" t="s">
        <v>848</v>
      </c>
      <c r="H96" s="581">
        <v>0</v>
      </c>
      <c r="I96" s="581">
        <v>0</v>
      </c>
      <c r="J96" s="581">
        <v>0</v>
      </c>
      <c r="K96" s="582">
        <f t="shared" si="10"/>
        <v>0</v>
      </c>
      <c r="M96" s="583">
        <f>SUMIF('CF.2'!$H$5:$H$24,'CF.1'!E96,'CF.2'!$J$5:$J$24)-SUMIF('CF.2'!$K$5:$K$24,'CF.1'!E96,'CF.2'!$M$5:$M$24)</f>
        <v>0</v>
      </c>
      <c r="N96" s="581">
        <f>SUMIF('CF.2'!$H$30:$H$59,'CF.1'!E96,'CF.2'!$J$30:$J$59)+SUMIF('CF.2'!$K$30:$K$59,'CF.1'!E96,'CF.2'!$M$30:$M$59)</f>
        <v>0</v>
      </c>
      <c r="O96" s="581">
        <f>SUMIF('CF.2'!$H$64:$H$98,'CF.1'!E96,'CF.2'!$J$64:$J$98)+SUMIF('CF.2'!$K$64:$K$98,'CF.1'!E96,'CF.2'!$M$64:$M$98)</f>
        <v>0</v>
      </c>
      <c r="P96" s="581">
        <f>SUMIF('CF.2'!$H$102:$H$108,'CF.1'!E96,'CF.2'!$J$102:$J$108)+SUMIF('CF.2'!$K$102:$K$108,'CF.1'!E96,'CF.2'!$M$102:$M$108)</f>
        <v>0</v>
      </c>
      <c r="Q96" s="581">
        <f>SUMIF('CF.2'!$H$113:$H$121,'CF.1'!E96,'CF.2'!$J$113:$J$121)+SUMIF('CF.2'!$K$113:$K$121,'CF.1'!E96,'CF.2'!$M$113:$M$121)</f>
        <v>0</v>
      </c>
      <c r="R96" s="582">
        <f t="shared" si="11"/>
        <v>0</v>
      </c>
      <c r="T96" s="584">
        <f t="shared" si="12"/>
        <v>0</v>
      </c>
    </row>
    <row r="97" spans="3:20" ht="18" customHeight="1">
      <c r="C97" s="6">
        <v>1</v>
      </c>
      <c r="D97" s="578" t="s">
        <v>849</v>
      </c>
      <c r="E97" s="579" t="s">
        <v>849</v>
      </c>
      <c r="F97" s="580"/>
      <c r="G97" s="579" t="s">
        <v>850</v>
      </c>
      <c r="H97" s="581">
        <v>0</v>
      </c>
      <c r="I97" s="581">
        <v>0</v>
      </c>
      <c r="J97" s="581">
        <v>0</v>
      </c>
      <c r="K97" s="582">
        <f t="shared" si="10"/>
        <v>0</v>
      </c>
      <c r="M97" s="583">
        <f>SUMIF('CF.2'!$H$5:$H$24,'CF.1'!E97,'CF.2'!$J$5:$J$24)-SUMIF('CF.2'!$K$5:$K$24,'CF.1'!E97,'CF.2'!$M$5:$M$24)</f>
        <v>0</v>
      </c>
      <c r="N97" s="581">
        <f>SUMIF('CF.2'!$H$30:$H$59,'CF.1'!E97,'CF.2'!$J$30:$J$59)+SUMIF('CF.2'!$K$30:$K$59,'CF.1'!E97,'CF.2'!$M$30:$M$59)</f>
        <v>0</v>
      </c>
      <c r="O97" s="581">
        <f>SUMIF('CF.2'!$H$64:$H$98,'CF.1'!E97,'CF.2'!$J$64:$J$98)+SUMIF('CF.2'!$K$64:$K$98,'CF.1'!E97,'CF.2'!$M$64:$M$98)</f>
        <v>0</v>
      </c>
      <c r="P97" s="581">
        <f>SUMIF('CF.2'!$H$102:$H$108,'CF.1'!E97,'CF.2'!$J$102:$J$108)+SUMIF('CF.2'!$K$102:$K$108,'CF.1'!E97,'CF.2'!$M$102:$M$108)</f>
        <v>0</v>
      </c>
      <c r="Q97" s="581">
        <f>SUMIF('CF.2'!$H$113:$H$121,'CF.1'!E97,'CF.2'!$J$113:$J$121)+SUMIF('CF.2'!$K$113:$K$121,'CF.1'!E97,'CF.2'!$M$113:$M$121)</f>
        <v>0</v>
      </c>
      <c r="R97" s="582">
        <f t="shared" si="11"/>
        <v>0</v>
      </c>
      <c r="T97" s="584">
        <f t="shared" si="12"/>
        <v>0</v>
      </c>
    </row>
    <row r="98" spans="3:20" ht="18" customHeight="1">
      <c r="C98" s="6">
        <v>1</v>
      </c>
      <c r="D98" s="578" t="s">
        <v>851</v>
      </c>
      <c r="E98" s="579" t="s">
        <v>851</v>
      </c>
      <c r="F98" s="580"/>
      <c r="G98" s="579" t="s">
        <v>852</v>
      </c>
      <c r="H98" s="581">
        <v>0</v>
      </c>
      <c r="I98" s="581">
        <v>0</v>
      </c>
      <c r="J98" s="581">
        <v>0</v>
      </c>
      <c r="K98" s="582">
        <f t="shared" si="10"/>
        <v>0</v>
      </c>
      <c r="M98" s="583">
        <f>SUMIF('CF.2'!$H$5:$H$24,'CF.1'!E98,'CF.2'!$J$5:$J$24)-SUMIF('CF.2'!$K$5:$K$24,'CF.1'!E98,'CF.2'!$M$5:$M$24)</f>
        <v>0</v>
      </c>
      <c r="N98" s="581">
        <f>SUMIF('CF.2'!$H$30:$H$59,'CF.1'!E98,'CF.2'!$J$30:$J$59)+SUMIF('CF.2'!$K$30:$K$59,'CF.1'!E98,'CF.2'!$M$30:$M$59)</f>
        <v>0</v>
      </c>
      <c r="O98" s="581">
        <f>SUMIF('CF.2'!$H$64:$H$98,'CF.1'!E98,'CF.2'!$J$64:$J$98)+SUMIF('CF.2'!$K$64:$K$98,'CF.1'!E98,'CF.2'!$M$64:$M$98)</f>
        <v>0</v>
      </c>
      <c r="P98" s="581">
        <f>SUMIF('CF.2'!$H$102:$H$108,'CF.1'!E98,'CF.2'!$J$102:$J$108)+SUMIF('CF.2'!$K$102:$K$108,'CF.1'!E98,'CF.2'!$M$102:$M$108)</f>
        <v>0</v>
      </c>
      <c r="Q98" s="581">
        <f>SUMIF('CF.2'!$H$113:$H$121,'CF.1'!E98,'CF.2'!$J$113:$J$121)+SUMIF('CF.2'!$K$113:$K$121,'CF.1'!E98,'CF.2'!$M$113:$M$121)</f>
        <v>0</v>
      </c>
      <c r="R98" s="582">
        <f t="shared" si="11"/>
        <v>0</v>
      </c>
      <c r="T98" s="584">
        <f t="shared" si="12"/>
        <v>0</v>
      </c>
    </row>
    <row r="99" spans="3:20" ht="18" customHeight="1">
      <c r="C99" s="6">
        <v>1</v>
      </c>
      <c r="D99" s="578" t="s">
        <v>853</v>
      </c>
      <c r="E99" s="579" t="s">
        <v>853</v>
      </c>
      <c r="F99" s="580"/>
      <c r="G99" s="579" t="s">
        <v>854</v>
      </c>
      <c r="H99" s="581">
        <v>0</v>
      </c>
      <c r="I99" s="581">
        <v>0</v>
      </c>
      <c r="J99" s="581">
        <v>0</v>
      </c>
      <c r="K99" s="582">
        <f t="shared" si="10"/>
        <v>0</v>
      </c>
      <c r="M99" s="583">
        <f>SUMIF('CF.2'!$H$5:$H$24,'CF.1'!E99,'CF.2'!$J$5:$J$24)-SUMIF('CF.2'!$K$5:$K$24,'CF.1'!E99,'CF.2'!$M$5:$M$24)</f>
        <v>0</v>
      </c>
      <c r="N99" s="581">
        <f>SUMIF('CF.2'!$H$30:$H$59,'CF.1'!E99,'CF.2'!$J$30:$J$59)+SUMIF('CF.2'!$K$30:$K$59,'CF.1'!E99,'CF.2'!$M$30:$M$59)</f>
        <v>0</v>
      </c>
      <c r="O99" s="581">
        <f>SUMIF('CF.2'!$H$64:$H$98,'CF.1'!E99,'CF.2'!$J$64:$J$98)+SUMIF('CF.2'!$K$64:$K$98,'CF.1'!E99,'CF.2'!$M$64:$M$98)</f>
        <v>0</v>
      </c>
      <c r="P99" s="581">
        <f>SUMIF('CF.2'!$H$102:$H$108,'CF.1'!E99,'CF.2'!$J$102:$J$108)+SUMIF('CF.2'!$K$102:$K$108,'CF.1'!E99,'CF.2'!$M$102:$M$108)</f>
        <v>0</v>
      </c>
      <c r="Q99" s="581">
        <f>SUMIF('CF.2'!$H$113:$H$121,'CF.1'!E99,'CF.2'!$J$113:$J$121)+SUMIF('CF.2'!$K$113:$K$121,'CF.1'!E99,'CF.2'!$M$113:$M$121)</f>
        <v>0</v>
      </c>
      <c r="R99" s="582">
        <f t="shared" si="11"/>
        <v>0</v>
      </c>
      <c r="T99" s="584">
        <f t="shared" si="12"/>
        <v>0</v>
      </c>
    </row>
    <row r="100" spans="3:20" ht="18" customHeight="1">
      <c r="C100" s="6">
        <v>1</v>
      </c>
      <c r="D100" s="578" t="s">
        <v>855</v>
      </c>
      <c r="E100" s="579" t="s">
        <v>855</v>
      </c>
      <c r="F100" s="580"/>
      <c r="G100" s="579" t="s">
        <v>856</v>
      </c>
      <c r="H100" s="581">
        <v>0</v>
      </c>
      <c r="I100" s="581">
        <v>0</v>
      </c>
      <c r="J100" s="581">
        <v>0</v>
      </c>
      <c r="K100" s="582">
        <f t="shared" si="10"/>
        <v>0</v>
      </c>
      <c r="M100" s="583">
        <f>SUMIF('CF.2'!$H$5:$H$24,'CF.1'!E100,'CF.2'!$J$5:$J$24)-SUMIF('CF.2'!$K$5:$K$24,'CF.1'!E100,'CF.2'!$M$5:$M$24)</f>
        <v>0</v>
      </c>
      <c r="N100" s="581">
        <f>SUMIF('CF.2'!$H$30:$H$59,'CF.1'!E100,'CF.2'!$J$30:$J$59)+SUMIF('CF.2'!$K$30:$K$59,'CF.1'!E100,'CF.2'!$M$30:$M$59)</f>
        <v>0</v>
      </c>
      <c r="O100" s="581">
        <f>SUMIF('CF.2'!$H$64:$H$98,'CF.1'!E100,'CF.2'!$J$64:$J$98)+SUMIF('CF.2'!$K$64:$K$98,'CF.1'!E100,'CF.2'!$M$64:$M$98)</f>
        <v>0</v>
      </c>
      <c r="P100" s="581">
        <f>SUMIF('CF.2'!$H$102:$H$108,'CF.1'!E100,'CF.2'!$J$102:$J$108)+SUMIF('CF.2'!$K$102:$K$108,'CF.1'!E100,'CF.2'!$M$102:$M$108)</f>
        <v>0</v>
      </c>
      <c r="Q100" s="581">
        <f>SUMIF('CF.2'!$H$113:$H$121,'CF.1'!E100,'CF.2'!$J$113:$J$121)+SUMIF('CF.2'!$K$113:$K$121,'CF.1'!E100,'CF.2'!$M$113:$M$121)</f>
        <v>0</v>
      </c>
      <c r="R100" s="582">
        <f t="shared" si="11"/>
        <v>0</v>
      </c>
      <c r="T100" s="584">
        <f t="shared" si="12"/>
        <v>0</v>
      </c>
    </row>
    <row r="101" spans="3:20" ht="18" customHeight="1">
      <c r="C101" s="6">
        <v>1</v>
      </c>
      <c r="D101" s="578" t="s">
        <v>857</v>
      </c>
      <c r="E101" s="579" t="s">
        <v>857</v>
      </c>
      <c r="F101" s="580"/>
      <c r="G101" s="579" t="s">
        <v>858</v>
      </c>
      <c r="H101" s="581">
        <v>0</v>
      </c>
      <c r="I101" s="581">
        <v>0</v>
      </c>
      <c r="J101" s="581">
        <v>0</v>
      </c>
      <c r="K101" s="582">
        <f t="shared" si="10"/>
        <v>0</v>
      </c>
      <c r="M101" s="583">
        <f>SUMIF('CF.2'!$H$5:$H$24,'CF.1'!E101,'CF.2'!$J$5:$J$24)-SUMIF('CF.2'!$K$5:$K$24,'CF.1'!E101,'CF.2'!$M$5:$M$24)</f>
        <v>0</v>
      </c>
      <c r="N101" s="581">
        <f>SUMIF('CF.2'!$H$30:$H$59,'CF.1'!E101,'CF.2'!$J$30:$J$59)+SUMIF('CF.2'!$K$30:$K$59,'CF.1'!E101,'CF.2'!$M$30:$M$59)</f>
        <v>0</v>
      </c>
      <c r="O101" s="581">
        <f>SUMIF('CF.2'!$H$64:$H$98,'CF.1'!E101,'CF.2'!$J$64:$J$98)+SUMIF('CF.2'!$K$64:$K$98,'CF.1'!E101,'CF.2'!$M$64:$M$98)</f>
        <v>0</v>
      </c>
      <c r="P101" s="581">
        <f>SUMIF('CF.2'!$H$102:$H$108,'CF.1'!E101,'CF.2'!$J$102:$J$108)+SUMIF('CF.2'!$K$102:$K$108,'CF.1'!E101,'CF.2'!$M$102:$M$108)</f>
        <v>0</v>
      </c>
      <c r="Q101" s="581">
        <f>SUMIF('CF.2'!$H$113:$H$121,'CF.1'!E101,'CF.2'!$J$113:$J$121)+SUMIF('CF.2'!$K$113:$K$121,'CF.1'!E101,'CF.2'!$M$113:$M$121)</f>
        <v>0</v>
      </c>
      <c r="R101" s="582">
        <f t="shared" si="11"/>
        <v>0</v>
      </c>
      <c r="T101" s="584">
        <f t="shared" si="12"/>
        <v>0</v>
      </c>
    </row>
    <row r="102" spans="3:20" ht="18" customHeight="1">
      <c r="C102" s="6">
        <v>1</v>
      </c>
      <c r="D102" s="578" t="s">
        <v>859</v>
      </c>
      <c r="E102" s="579" t="s">
        <v>859</v>
      </c>
      <c r="F102" s="580"/>
      <c r="G102" s="579" t="s">
        <v>860</v>
      </c>
      <c r="H102" s="581">
        <v>0</v>
      </c>
      <c r="I102" s="581">
        <v>0</v>
      </c>
      <c r="J102" s="581">
        <v>0</v>
      </c>
      <c r="K102" s="582">
        <f t="shared" si="10"/>
        <v>0</v>
      </c>
      <c r="M102" s="583">
        <f>SUMIF('CF.2'!$H$5:$H$24,'CF.1'!E102,'CF.2'!$J$5:$J$24)-SUMIF('CF.2'!$K$5:$K$24,'CF.1'!E102,'CF.2'!$M$5:$M$24)</f>
        <v>0</v>
      </c>
      <c r="N102" s="581">
        <f>SUMIF('CF.2'!$H$30:$H$59,'CF.1'!E102,'CF.2'!$J$30:$J$59)+SUMIF('CF.2'!$K$30:$K$59,'CF.1'!E102,'CF.2'!$M$30:$M$59)</f>
        <v>0</v>
      </c>
      <c r="O102" s="581">
        <f>SUMIF('CF.2'!$H$64:$H$98,'CF.1'!E102,'CF.2'!$J$64:$J$98)+SUMIF('CF.2'!$K$64:$K$98,'CF.1'!E102,'CF.2'!$M$64:$M$98)</f>
        <v>0</v>
      </c>
      <c r="P102" s="581">
        <f>SUMIF('CF.2'!$H$102:$H$108,'CF.1'!E102,'CF.2'!$J$102:$J$108)+SUMIF('CF.2'!$K$102:$K$108,'CF.1'!E102,'CF.2'!$M$102:$M$108)</f>
        <v>0</v>
      </c>
      <c r="Q102" s="581">
        <f>SUMIF('CF.2'!$H$113:$H$121,'CF.1'!E102,'CF.2'!$J$113:$J$121)+SUMIF('CF.2'!$K$113:$K$121,'CF.1'!E102,'CF.2'!$M$113:$M$121)</f>
        <v>0</v>
      </c>
      <c r="R102" s="582">
        <f t="shared" si="11"/>
        <v>0</v>
      </c>
      <c r="T102" s="584">
        <f t="shared" si="12"/>
        <v>0</v>
      </c>
    </row>
    <row r="103" spans="3:20" ht="18" customHeight="1">
      <c r="C103" s="6">
        <v>1</v>
      </c>
      <c r="D103" s="578" t="s">
        <v>861</v>
      </c>
      <c r="E103" s="579" t="s">
        <v>861</v>
      </c>
      <c r="F103" s="580"/>
      <c r="G103" s="579" t="s">
        <v>862</v>
      </c>
      <c r="H103" s="581">
        <v>0</v>
      </c>
      <c r="I103" s="581">
        <v>0</v>
      </c>
      <c r="J103" s="581">
        <v>0</v>
      </c>
      <c r="K103" s="582">
        <f t="shared" si="10"/>
        <v>0</v>
      </c>
      <c r="M103" s="583">
        <f>SUMIF('CF.2'!$H$5:$H$24,'CF.1'!E103,'CF.2'!$J$5:$J$24)-SUMIF('CF.2'!$K$5:$K$24,'CF.1'!E103,'CF.2'!$M$5:$M$24)</f>
        <v>0</v>
      </c>
      <c r="N103" s="581">
        <f>SUMIF('CF.2'!$H$30:$H$59,'CF.1'!E103,'CF.2'!$J$30:$J$59)+SUMIF('CF.2'!$K$30:$K$59,'CF.1'!E103,'CF.2'!$M$30:$M$59)</f>
        <v>0</v>
      </c>
      <c r="O103" s="581">
        <f>SUMIF('CF.2'!$H$64:$H$98,'CF.1'!E103,'CF.2'!$J$64:$J$98)+SUMIF('CF.2'!$K$64:$K$98,'CF.1'!E103,'CF.2'!$M$64:$M$98)</f>
        <v>0</v>
      </c>
      <c r="P103" s="581">
        <f>SUMIF('CF.2'!$H$102:$H$108,'CF.1'!E103,'CF.2'!$J$102:$J$108)+SUMIF('CF.2'!$K$102:$K$108,'CF.1'!E103,'CF.2'!$M$102:$M$108)</f>
        <v>0</v>
      </c>
      <c r="Q103" s="581">
        <f>SUMIF('CF.2'!$H$113:$H$121,'CF.1'!E103,'CF.2'!$J$113:$J$121)+SUMIF('CF.2'!$K$113:$K$121,'CF.1'!E103,'CF.2'!$M$113:$M$121)</f>
        <v>0</v>
      </c>
      <c r="R103" s="582">
        <f t="shared" si="11"/>
        <v>0</v>
      </c>
      <c r="T103" s="584">
        <f t="shared" si="12"/>
        <v>0</v>
      </c>
    </row>
    <row r="104" spans="3:20" ht="18" customHeight="1">
      <c r="C104" s="6">
        <v>1</v>
      </c>
      <c r="D104" s="578" t="s">
        <v>863</v>
      </c>
      <c r="E104" s="579" t="s">
        <v>863</v>
      </c>
      <c r="F104" s="580"/>
      <c r="G104" s="579" t="s">
        <v>864</v>
      </c>
      <c r="H104" s="581">
        <v>0</v>
      </c>
      <c r="I104" s="581">
        <v>0</v>
      </c>
      <c r="J104" s="581">
        <v>0</v>
      </c>
      <c r="K104" s="582">
        <f t="shared" si="10"/>
        <v>0</v>
      </c>
      <c r="M104" s="583">
        <f>SUMIF('CF.2'!$H$5:$H$24,'CF.1'!E104,'CF.2'!$J$5:$J$24)-SUMIF('CF.2'!$K$5:$K$24,'CF.1'!E104,'CF.2'!$M$5:$M$24)</f>
        <v>0</v>
      </c>
      <c r="N104" s="581">
        <f>SUMIF('CF.2'!$H$30:$H$59,'CF.1'!E104,'CF.2'!$J$30:$J$59)+SUMIF('CF.2'!$K$30:$K$59,'CF.1'!E104,'CF.2'!$M$30:$M$59)</f>
        <v>0</v>
      </c>
      <c r="O104" s="581">
        <f>SUMIF('CF.2'!$H$64:$H$98,'CF.1'!E104,'CF.2'!$J$64:$J$98)+SUMIF('CF.2'!$K$64:$K$98,'CF.1'!E104,'CF.2'!$M$64:$M$98)</f>
        <v>0</v>
      </c>
      <c r="P104" s="581">
        <f>SUMIF('CF.2'!$H$102:$H$108,'CF.1'!E104,'CF.2'!$J$102:$J$108)+SUMIF('CF.2'!$K$102:$K$108,'CF.1'!E104,'CF.2'!$M$102:$M$108)</f>
        <v>0</v>
      </c>
      <c r="Q104" s="581">
        <f>SUMIF('CF.2'!$H$113:$H$121,'CF.1'!E104,'CF.2'!$J$113:$J$121)+SUMIF('CF.2'!$K$113:$K$121,'CF.1'!E104,'CF.2'!$M$113:$M$121)</f>
        <v>0</v>
      </c>
      <c r="R104" s="582">
        <f t="shared" si="11"/>
        <v>0</v>
      </c>
      <c r="T104" s="584">
        <f t="shared" si="12"/>
        <v>0</v>
      </c>
    </row>
    <row r="105" spans="3:20" ht="18" customHeight="1">
      <c r="C105" s="6">
        <v>1</v>
      </c>
      <c r="D105" s="578" t="s">
        <v>865</v>
      </c>
      <c r="E105" s="579" t="s">
        <v>865</v>
      </c>
      <c r="F105" s="580"/>
      <c r="G105" s="579" t="s">
        <v>866</v>
      </c>
      <c r="H105" s="581">
        <v>0</v>
      </c>
      <c r="I105" s="581">
        <v>0</v>
      </c>
      <c r="J105" s="581">
        <v>0</v>
      </c>
      <c r="K105" s="582">
        <f t="shared" si="10"/>
        <v>0</v>
      </c>
      <c r="M105" s="583">
        <f>SUMIF('CF.2'!$H$5:$H$24,'CF.1'!E105,'CF.2'!$J$5:$J$24)-SUMIF('CF.2'!$K$5:$K$24,'CF.1'!E105,'CF.2'!$M$5:$M$24)</f>
        <v>0</v>
      </c>
      <c r="N105" s="581">
        <f>SUMIF('CF.2'!$H$30:$H$59,'CF.1'!E105,'CF.2'!$J$30:$J$59)+SUMIF('CF.2'!$K$30:$K$59,'CF.1'!E105,'CF.2'!$M$30:$M$59)</f>
        <v>0</v>
      </c>
      <c r="O105" s="581">
        <f>SUMIF('CF.2'!$H$64:$H$98,'CF.1'!E105,'CF.2'!$J$64:$J$98)+SUMIF('CF.2'!$K$64:$K$98,'CF.1'!E105,'CF.2'!$M$64:$M$98)</f>
        <v>0</v>
      </c>
      <c r="P105" s="581">
        <f>SUMIF('CF.2'!$H$102:$H$108,'CF.1'!E105,'CF.2'!$J$102:$J$108)+SUMIF('CF.2'!$K$102:$K$108,'CF.1'!E105,'CF.2'!$M$102:$M$108)</f>
        <v>0</v>
      </c>
      <c r="Q105" s="581">
        <f>SUMIF('CF.2'!$H$113:$H$121,'CF.1'!E105,'CF.2'!$J$113:$J$121)+SUMIF('CF.2'!$K$113:$K$121,'CF.1'!E105,'CF.2'!$M$113:$M$121)</f>
        <v>0</v>
      </c>
      <c r="R105" s="582">
        <f t="shared" si="11"/>
        <v>0</v>
      </c>
      <c r="T105" s="584">
        <f t="shared" si="12"/>
        <v>0</v>
      </c>
    </row>
    <row r="106" spans="3:20" ht="18" customHeight="1">
      <c r="C106" s="6">
        <v>1</v>
      </c>
      <c r="D106" s="578" t="s">
        <v>867</v>
      </c>
      <c r="E106" s="579" t="s">
        <v>867</v>
      </c>
      <c r="F106" s="580"/>
      <c r="G106" s="579" t="s">
        <v>868</v>
      </c>
      <c r="H106" s="581">
        <v>0</v>
      </c>
      <c r="I106" s="581">
        <v>0</v>
      </c>
      <c r="J106" s="581">
        <v>0</v>
      </c>
      <c r="K106" s="582">
        <f t="shared" si="10"/>
        <v>0</v>
      </c>
      <c r="M106" s="583">
        <f>SUMIF('CF.2'!$H$5:$H$24,'CF.1'!E106,'CF.2'!$J$5:$J$24)-SUMIF('CF.2'!$K$5:$K$24,'CF.1'!E106,'CF.2'!$M$5:$M$24)</f>
        <v>0</v>
      </c>
      <c r="N106" s="581">
        <f>SUMIF('CF.2'!$H$30:$H$59,'CF.1'!E106,'CF.2'!$J$30:$J$59)+SUMIF('CF.2'!$K$30:$K$59,'CF.1'!E106,'CF.2'!$M$30:$M$59)</f>
        <v>0</v>
      </c>
      <c r="O106" s="581">
        <f>SUMIF('CF.2'!$H$64:$H$98,'CF.1'!E106,'CF.2'!$J$64:$J$98)+SUMIF('CF.2'!$K$64:$K$98,'CF.1'!E106,'CF.2'!$M$64:$M$98)</f>
        <v>0</v>
      </c>
      <c r="P106" s="581">
        <f>SUMIF('CF.2'!$H$102:$H$108,'CF.1'!E106,'CF.2'!$J$102:$J$108)+SUMIF('CF.2'!$K$102:$K$108,'CF.1'!E106,'CF.2'!$M$102:$M$108)</f>
        <v>0</v>
      </c>
      <c r="Q106" s="581">
        <f>SUMIF('CF.2'!$H$113:$H$121,'CF.1'!E106,'CF.2'!$J$113:$J$121)+SUMIF('CF.2'!$K$113:$K$121,'CF.1'!E106,'CF.2'!$M$113:$M$121)</f>
        <v>0</v>
      </c>
      <c r="R106" s="582">
        <f t="shared" si="11"/>
        <v>0</v>
      </c>
      <c r="T106" s="584">
        <f t="shared" si="12"/>
        <v>0</v>
      </c>
    </row>
    <row r="107" spans="3:20" ht="18" customHeight="1">
      <c r="C107" s="6">
        <v>1</v>
      </c>
      <c r="D107" s="578" t="s">
        <v>869</v>
      </c>
      <c r="E107" s="579" t="s">
        <v>869</v>
      </c>
      <c r="F107" s="580"/>
      <c r="G107" s="579" t="s">
        <v>870</v>
      </c>
      <c r="H107" s="581">
        <v>0</v>
      </c>
      <c r="I107" s="581">
        <v>0</v>
      </c>
      <c r="J107" s="581">
        <v>0</v>
      </c>
      <c r="K107" s="582">
        <f t="shared" ref="K107:K124" si="13">SUM(H107:J107)</f>
        <v>0</v>
      </c>
      <c r="M107" s="583">
        <f>SUMIF('CF.2'!$H$5:$H$24,'CF.1'!E107,'CF.2'!$J$5:$J$24)-SUMIF('CF.2'!$K$5:$K$24,'CF.1'!E107,'CF.2'!$M$5:$M$24)</f>
        <v>0</v>
      </c>
      <c r="N107" s="581">
        <f>SUMIF('CF.2'!$H$30:$H$59,'CF.1'!E107,'CF.2'!$J$30:$J$59)+SUMIF('CF.2'!$K$30:$K$59,'CF.1'!E107,'CF.2'!$M$30:$M$59)</f>
        <v>0</v>
      </c>
      <c r="O107" s="581">
        <f>SUMIF('CF.2'!$H$64:$H$98,'CF.1'!E107,'CF.2'!$J$64:$J$98)+SUMIF('CF.2'!$K$64:$K$98,'CF.1'!E107,'CF.2'!$M$64:$M$98)</f>
        <v>0</v>
      </c>
      <c r="P107" s="581">
        <f>SUMIF('CF.2'!$H$102:$H$108,'CF.1'!E107,'CF.2'!$J$102:$J$108)+SUMIF('CF.2'!$K$102:$K$108,'CF.1'!E107,'CF.2'!$M$102:$M$108)</f>
        <v>0</v>
      </c>
      <c r="Q107" s="581">
        <f>SUMIF('CF.2'!$H$113:$H$121,'CF.1'!E107,'CF.2'!$J$113:$J$121)+SUMIF('CF.2'!$K$113:$K$121,'CF.1'!E107,'CF.2'!$M$113:$M$121)</f>
        <v>0</v>
      </c>
      <c r="R107" s="582">
        <f t="shared" si="11"/>
        <v>0</v>
      </c>
      <c r="T107" s="584">
        <f t="shared" ref="T107:T124" si="14">ROUND(R107+K107,0)</f>
        <v>0</v>
      </c>
    </row>
    <row r="108" spans="3:20" ht="18" customHeight="1">
      <c r="C108" s="6">
        <v>1</v>
      </c>
      <c r="D108" s="578" t="s">
        <v>871</v>
      </c>
      <c r="E108" s="579" t="s">
        <v>871</v>
      </c>
      <c r="F108" s="580"/>
      <c r="G108" s="579" t="s">
        <v>872</v>
      </c>
      <c r="H108" s="581">
        <v>0</v>
      </c>
      <c r="I108" s="581">
        <v>0</v>
      </c>
      <c r="J108" s="581">
        <v>0</v>
      </c>
      <c r="K108" s="582">
        <f t="shared" si="13"/>
        <v>0</v>
      </c>
      <c r="M108" s="583">
        <f>SUMIF('CF.2'!$H$5:$H$24,'CF.1'!E108,'CF.2'!$J$5:$J$24)-SUMIF('CF.2'!$K$5:$K$24,'CF.1'!E108,'CF.2'!$M$5:$M$24)</f>
        <v>0</v>
      </c>
      <c r="N108" s="581">
        <f>SUMIF('CF.2'!$H$30:$H$59,'CF.1'!E108,'CF.2'!$J$30:$J$59)+SUMIF('CF.2'!$K$30:$K$59,'CF.1'!E108,'CF.2'!$M$30:$M$59)</f>
        <v>0</v>
      </c>
      <c r="O108" s="581">
        <f>SUMIF('CF.2'!$H$64:$H$98,'CF.1'!E108,'CF.2'!$J$64:$J$98)+SUMIF('CF.2'!$K$64:$K$98,'CF.1'!E108,'CF.2'!$M$64:$M$98)</f>
        <v>0</v>
      </c>
      <c r="P108" s="581">
        <f>SUMIF('CF.2'!$H$102:$H$108,'CF.1'!E108,'CF.2'!$J$102:$J$108)+SUMIF('CF.2'!$K$102:$K$108,'CF.1'!E108,'CF.2'!$M$102:$M$108)</f>
        <v>0</v>
      </c>
      <c r="Q108" s="581">
        <f>SUMIF('CF.2'!$H$113:$H$121,'CF.1'!E108,'CF.2'!$J$113:$J$121)+SUMIF('CF.2'!$K$113:$K$121,'CF.1'!E108,'CF.2'!$M$113:$M$121)</f>
        <v>0</v>
      </c>
      <c r="R108" s="582">
        <f t="shared" si="11"/>
        <v>0</v>
      </c>
      <c r="T108" s="584">
        <f t="shared" si="14"/>
        <v>0</v>
      </c>
    </row>
    <row r="109" spans="3:20" ht="18" customHeight="1">
      <c r="C109" s="6">
        <v>1</v>
      </c>
      <c r="D109" s="578" t="s">
        <v>873</v>
      </c>
      <c r="E109" s="579" t="s">
        <v>873</v>
      </c>
      <c r="F109" s="580"/>
      <c r="G109" s="579" t="s">
        <v>874</v>
      </c>
      <c r="H109" s="581">
        <v>0</v>
      </c>
      <c r="I109" s="581">
        <v>0</v>
      </c>
      <c r="J109" s="581">
        <v>0</v>
      </c>
      <c r="K109" s="582">
        <f t="shared" si="13"/>
        <v>0</v>
      </c>
      <c r="M109" s="583">
        <f>SUMIF('CF.2'!$H$5:$H$24,'CF.1'!E109,'CF.2'!$J$5:$J$24)-SUMIF('CF.2'!$K$5:$K$24,'CF.1'!E109,'CF.2'!$M$5:$M$24)</f>
        <v>0</v>
      </c>
      <c r="N109" s="581">
        <f>SUMIF('CF.2'!$H$30:$H$59,'CF.1'!E109,'CF.2'!$J$30:$J$59)+SUMIF('CF.2'!$K$30:$K$59,'CF.1'!E109,'CF.2'!$M$30:$M$59)</f>
        <v>0</v>
      </c>
      <c r="O109" s="581">
        <f>SUMIF('CF.2'!$H$64:$H$98,'CF.1'!E109,'CF.2'!$J$64:$J$98)+SUMIF('CF.2'!$K$64:$K$98,'CF.1'!E109,'CF.2'!$M$64:$M$98)</f>
        <v>0</v>
      </c>
      <c r="P109" s="581">
        <f>SUMIF('CF.2'!$H$102:$H$108,'CF.1'!E109,'CF.2'!$J$102:$J$108)+SUMIF('CF.2'!$K$102:$K$108,'CF.1'!E109,'CF.2'!$M$102:$M$108)</f>
        <v>0</v>
      </c>
      <c r="Q109" s="581">
        <f>SUMIF('CF.2'!$H$113:$H$121,'CF.1'!E109,'CF.2'!$J$113:$J$121)+SUMIF('CF.2'!$K$113:$K$121,'CF.1'!E109,'CF.2'!$M$113:$M$121)</f>
        <v>0</v>
      </c>
      <c r="R109" s="582">
        <f t="shared" si="11"/>
        <v>0</v>
      </c>
      <c r="T109" s="584">
        <f t="shared" si="14"/>
        <v>0</v>
      </c>
    </row>
    <row r="110" spans="3:20" ht="18" customHeight="1">
      <c r="C110" s="6">
        <v>1</v>
      </c>
      <c r="D110" s="578" t="s">
        <v>875</v>
      </c>
      <c r="E110" s="579" t="s">
        <v>875</v>
      </c>
      <c r="F110" s="580" t="s">
        <v>674</v>
      </c>
      <c r="G110" s="579" t="s">
        <v>674</v>
      </c>
      <c r="H110" s="581">
        <v>-604367791</v>
      </c>
      <c r="I110" s="581">
        <v>395461</v>
      </c>
      <c r="J110" s="581">
        <v>-71620</v>
      </c>
      <c r="K110" s="582">
        <f t="shared" si="13"/>
        <v>-604043950</v>
      </c>
      <c r="M110" s="583">
        <f>SUMIF('CF.2'!$H$5:$H$24,'CF.1'!E110,'CF.2'!$J$5:$J$24)-SUMIF('CF.2'!$K$5:$K$24,'CF.1'!E110,'CF.2'!$M$5:$M$24)</f>
        <v>0</v>
      </c>
      <c r="N110" s="581">
        <f>SUMIF('CF.2'!$H$30:$H$59,'CF.1'!E110,'CF.2'!$J$30:$J$59)+SUMIF('CF.2'!$K$30:$K$59,'CF.1'!E110,'CF.2'!$M$30:$M$59)</f>
        <v>0</v>
      </c>
      <c r="O110" s="581">
        <f>SUMIF('CF.2'!$H$64:$H$98,'CF.1'!E110,'CF.2'!$J$64:$J$98)+SUMIF('CF.2'!$K$64:$K$98,'CF.1'!E110,'CF.2'!$M$64:$M$98)</f>
        <v>8564195</v>
      </c>
      <c r="P110" s="581">
        <f>SUMIF('CF.2'!$H$102:$H$108,'CF.1'!E110,'CF.2'!$J$102:$J$108)+SUMIF('CF.2'!$K$102:$K$108,'CF.1'!E110,'CF.2'!$M$102:$M$108)</f>
        <v>0</v>
      </c>
      <c r="Q110" s="581">
        <f>SUMIF('CF.2'!$H$113:$H$121,'CF.1'!E110,'CF.2'!$J$113:$J$121)+SUMIF('CF.2'!$K$113:$K$121,'CF.1'!E110,'CF.2'!$M$113:$M$121)</f>
        <v>0</v>
      </c>
      <c r="R110" s="582">
        <f t="shared" si="11"/>
        <v>8564195</v>
      </c>
      <c r="T110" s="584">
        <f t="shared" si="14"/>
        <v>-595479755</v>
      </c>
    </row>
    <row r="111" spans="3:20" ht="18" customHeight="1">
      <c r="C111" s="6">
        <v>1</v>
      </c>
      <c r="D111" s="578" t="s">
        <v>876</v>
      </c>
      <c r="E111" s="579" t="s">
        <v>876</v>
      </c>
      <c r="F111" s="580"/>
      <c r="G111" s="579" t="s">
        <v>877</v>
      </c>
      <c r="H111" s="581">
        <v>0</v>
      </c>
      <c r="I111" s="581">
        <v>0</v>
      </c>
      <c r="J111" s="581">
        <v>0</v>
      </c>
      <c r="K111" s="582">
        <f t="shared" si="13"/>
        <v>0</v>
      </c>
      <c r="M111" s="583">
        <f>SUMIF('CF.2'!$H$5:$H$24,'CF.1'!E111,'CF.2'!$J$5:$J$24)-SUMIF('CF.2'!$K$5:$K$24,'CF.1'!E111,'CF.2'!$M$5:$M$24)</f>
        <v>0</v>
      </c>
      <c r="N111" s="581">
        <f>SUMIF('CF.2'!$H$30:$H$59,'CF.1'!E111,'CF.2'!$J$30:$J$59)+SUMIF('CF.2'!$K$30:$K$59,'CF.1'!E111,'CF.2'!$M$30:$M$59)</f>
        <v>0</v>
      </c>
      <c r="O111" s="581">
        <f>SUMIF('CF.2'!$H$64:$H$98,'CF.1'!E111,'CF.2'!$J$64:$J$98)+SUMIF('CF.2'!$K$64:$K$98,'CF.1'!E111,'CF.2'!$M$64:$M$98)</f>
        <v>0</v>
      </c>
      <c r="P111" s="581">
        <f>SUMIF('CF.2'!$H$102:$H$108,'CF.1'!E111,'CF.2'!$J$102:$J$108)+SUMIF('CF.2'!$K$102:$K$108,'CF.1'!E111,'CF.2'!$M$102:$M$108)</f>
        <v>0</v>
      </c>
      <c r="Q111" s="581">
        <f>SUMIF('CF.2'!$H$113:$H$121,'CF.1'!E111,'CF.2'!$J$113:$J$121)+SUMIF('CF.2'!$K$113:$K$121,'CF.1'!E111,'CF.2'!$M$113:$M$121)</f>
        <v>0</v>
      </c>
      <c r="R111" s="582">
        <f t="shared" si="11"/>
        <v>0</v>
      </c>
      <c r="T111" s="584">
        <f t="shared" si="14"/>
        <v>0</v>
      </c>
    </row>
    <row r="112" spans="3:20" ht="18" customHeight="1">
      <c r="C112" s="6">
        <v>1</v>
      </c>
      <c r="D112" s="578" t="s">
        <v>878</v>
      </c>
      <c r="E112" s="579" t="s">
        <v>878</v>
      </c>
      <c r="F112" s="580"/>
      <c r="G112" s="579" t="s">
        <v>879</v>
      </c>
      <c r="H112" s="581">
        <v>0</v>
      </c>
      <c r="I112" s="581">
        <v>0</v>
      </c>
      <c r="J112" s="581">
        <v>0</v>
      </c>
      <c r="K112" s="582">
        <f t="shared" si="13"/>
        <v>0</v>
      </c>
      <c r="M112" s="583">
        <f>SUMIF('CF.2'!$H$5:$H$24,'CF.1'!E112,'CF.2'!$J$5:$J$24)-SUMIF('CF.2'!$K$5:$K$24,'CF.1'!E112,'CF.2'!$M$5:$M$24)</f>
        <v>0</v>
      </c>
      <c r="N112" s="581">
        <f>SUMIF('CF.2'!$H$30:$H$59,'CF.1'!E112,'CF.2'!$J$30:$J$59)+SUMIF('CF.2'!$K$30:$K$59,'CF.1'!E112,'CF.2'!$M$30:$M$59)</f>
        <v>0</v>
      </c>
      <c r="O112" s="581">
        <f>SUMIF('CF.2'!$H$64:$H$98,'CF.1'!E112,'CF.2'!$J$64:$J$98)+SUMIF('CF.2'!$K$64:$K$98,'CF.1'!E112,'CF.2'!$M$64:$M$98)</f>
        <v>0</v>
      </c>
      <c r="P112" s="581">
        <f>SUMIF('CF.2'!$H$102:$H$108,'CF.1'!E112,'CF.2'!$J$102:$J$108)+SUMIF('CF.2'!$K$102:$K$108,'CF.1'!E112,'CF.2'!$M$102:$M$108)</f>
        <v>0</v>
      </c>
      <c r="Q112" s="581">
        <f>SUMIF('CF.2'!$H$113:$H$121,'CF.1'!E112,'CF.2'!$J$113:$J$121)+SUMIF('CF.2'!$K$113:$K$121,'CF.1'!E112,'CF.2'!$M$113:$M$121)</f>
        <v>0</v>
      </c>
      <c r="R112" s="582">
        <f t="shared" si="11"/>
        <v>0</v>
      </c>
      <c r="T112" s="584">
        <f t="shared" si="14"/>
        <v>0</v>
      </c>
    </row>
    <row r="113" spans="3:22" ht="18" customHeight="1">
      <c r="C113" s="6">
        <v>1</v>
      </c>
      <c r="D113" s="578" t="s">
        <v>880</v>
      </c>
      <c r="E113" s="579" t="s">
        <v>880</v>
      </c>
      <c r="F113" s="580"/>
      <c r="G113" s="579" t="s">
        <v>881</v>
      </c>
      <c r="H113" s="581">
        <v>0</v>
      </c>
      <c r="I113" s="581">
        <v>0</v>
      </c>
      <c r="J113" s="581">
        <v>0</v>
      </c>
      <c r="K113" s="582">
        <f t="shared" si="13"/>
        <v>0</v>
      </c>
      <c r="M113" s="583">
        <f>SUMIF('CF.2'!$H$5:$H$24,'CF.1'!E113,'CF.2'!$J$5:$J$24)-SUMIF('CF.2'!$K$5:$K$24,'CF.1'!E113,'CF.2'!$M$5:$M$24)</f>
        <v>0</v>
      </c>
      <c r="N113" s="581">
        <f>SUMIF('CF.2'!$H$30:$H$59,'CF.1'!E113,'CF.2'!$J$30:$J$59)+SUMIF('CF.2'!$K$30:$K$59,'CF.1'!E113,'CF.2'!$M$30:$M$59)</f>
        <v>0</v>
      </c>
      <c r="O113" s="581">
        <f>SUMIF('CF.2'!$H$64:$H$98,'CF.1'!E113,'CF.2'!$J$64:$J$98)+SUMIF('CF.2'!$K$64:$K$98,'CF.1'!E113,'CF.2'!$M$64:$M$98)</f>
        <v>0</v>
      </c>
      <c r="P113" s="581">
        <f>SUMIF('CF.2'!$H$102:$H$108,'CF.1'!E113,'CF.2'!$J$102:$J$108)+SUMIF('CF.2'!$K$102:$K$108,'CF.1'!E113,'CF.2'!$M$102:$M$108)</f>
        <v>0</v>
      </c>
      <c r="Q113" s="581">
        <f>SUMIF('CF.2'!$H$113:$H$121,'CF.1'!E113,'CF.2'!$J$113:$J$121)+SUMIF('CF.2'!$K$113:$K$121,'CF.1'!E113,'CF.2'!$M$113:$M$121)</f>
        <v>0</v>
      </c>
      <c r="R113" s="582">
        <f t="shared" si="11"/>
        <v>0</v>
      </c>
      <c r="T113" s="584">
        <f t="shared" si="14"/>
        <v>0</v>
      </c>
    </row>
    <row r="114" spans="3:22" s="38" customFormat="1" ht="18" customHeight="1">
      <c r="C114" s="6">
        <v>1</v>
      </c>
      <c r="D114" s="586" t="s">
        <v>811</v>
      </c>
      <c r="E114" s="587" t="s">
        <v>882</v>
      </c>
      <c r="F114" s="588" t="s">
        <v>1463</v>
      </c>
      <c r="G114" s="587" t="s">
        <v>883</v>
      </c>
      <c r="H114" s="581">
        <v>0</v>
      </c>
      <c r="I114" s="581">
        <v>0</v>
      </c>
      <c r="J114" s="581">
        <v>0</v>
      </c>
      <c r="K114" s="582">
        <f t="shared" si="13"/>
        <v>0</v>
      </c>
      <c r="M114" s="590">
        <f>SUMIF('CF.2'!$H$5:$H$24,'CF.1'!E114,'CF.2'!$J$5:$J$24)-SUMIF('CF.2'!$K$5:$K$24,'CF.1'!E114,'CF.2'!$M$5:$M$24)</f>
        <v>0</v>
      </c>
      <c r="N114" s="585">
        <f>SUMIF('CF.2'!$H$30:$H$59,'CF.1'!E114,'CF.2'!$J$30:$J$59)+SUMIF('CF.2'!$K$30:$K$59,'CF.1'!E114,'CF.2'!$M$30:$M$59)</f>
        <v>0</v>
      </c>
      <c r="O114" s="585">
        <f>SUMIF('CF.2'!$H$64:$H$98,'CF.1'!E114,'CF.2'!$J$64:$J$98)+SUMIF('CF.2'!$K$64:$K$98,'CF.1'!E114,'CF.2'!$M$64:$M$98)</f>
        <v>0</v>
      </c>
      <c r="P114" s="585">
        <f>SUMIF('CF.2'!$H$102:$H$108,'CF.1'!E114,'CF.2'!$J$102:$J$108)+SUMIF('CF.2'!$K$102:$K$108,'CF.1'!E114,'CF.2'!$M$102:$M$108)</f>
        <v>0</v>
      </c>
      <c r="Q114" s="585">
        <f>SUMIF('CF.2'!$H$113:$H$121,'CF.1'!E114,'CF.2'!$J$113:$J$121)+SUMIF('CF.2'!$K$113:$K$121,'CF.1'!E114,'CF.2'!$M$113:$M$121)</f>
        <v>0</v>
      </c>
      <c r="R114" s="589">
        <f t="shared" si="11"/>
        <v>0</v>
      </c>
      <c r="T114" s="584">
        <f t="shared" si="14"/>
        <v>0</v>
      </c>
    </row>
    <row r="115" spans="3:22" s="38" customFormat="1" ht="18" customHeight="1">
      <c r="C115" s="6">
        <v>1</v>
      </c>
      <c r="D115" s="586" t="s">
        <v>809</v>
      </c>
      <c r="E115" s="587" t="s">
        <v>884</v>
      </c>
      <c r="F115" s="588" t="s">
        <v>1464</v>
      </c>
      <c r="G115" s="587" t="s">
        <v>885</v>
      </c>
      <c r="H115" s="581">
        <v>0</v>
      </c>
      <c r="I115" s="581">
        <v>0</v>
      </c>
      <c r="J115" s="581">
        <v>0</v>
      </c>
      <c r="K115" s="582">
        <f t="shared" si="13"/>
        <v>0</v>
      </c>
      <c r="M115" s="590">
        <f>SUMIF('CF.2'!$H$5:$H$24,'CF.1'!E115,'CF.2'!$J$5:$J$24)-SUMIF('CF.2'!$K$5:$K$24,'CF.1'!E115,'CF.2'!$M$5:$M$24)</f>
        <v>0</v>
      </c>
      <c r="N115" s="585">
        <f>SUMIF('CF.2'!$H$30:$H$59,'CF.1'!E115,'CF.2'!$J$30:$J$59)+SUMIF('CF.2'!$K$30:$K$59,'CF.1'!E115,'CF.2'!$M$30:$M$59)</f>
        <v>0</v>
      </c>
      <c r="O115" s="585">
        <f>SUMIF('CF.2'!$H$64:$H$98,'CF.1'!E115,'CF.2'!$J$64:$J$98)+SUMIF('CF.2'!$K$64:$K$98,'CF.1'!E115,'CF.2'!$M$64:$M$98)</f>
        <v>0</v>
      </c>
      <c r="P115" s="585">
        <f>SUMIF('CF.2'!$H$102:$H$108,'CF.1'!E115,'CF.2'!$J$102:$J$108)+SUMIF('CF.2'!$K$102:$K$108,'CF.1'!E115,'CF.2'!$M$102:$M$108)</f>
        <v>0</v>
      </c>
      <c r="Q115" s="585">
        <f>SUMIF('CF.2'!$H$113:$H$121,'CF.1'!E115,'CF.2'!$J$113:$J$121)+SUMIF('CF.2'!$K$113:$K$121,'CF.1'!E115,'CF.2'!$M$113:$M$121)</f>
        <v>0</v>
      </c>
      <c r="R115" s="589">
        <f t="shared" si="11"/>
        <v>0</v>
      </c>
      <c r="T115" s="584">
        <f t="shared" si="14"/>
        <v>0</v>
      </c>
    </row>
    <row r="116" spans="3:22" ht="18" customHeight="1">
      <c r="C116" s="6">
        <v>1</v>
      </c>
      <c r="D116" s="578" t="s">
        <v>886</v>
      </c>
      <c r="E116" s="579" t="s">
        <v>886</v>
      </c>
      <c r="F116" s="580"/>
      <c r="G116" s="579" t="s">
        <v>887</v>
      </c>
      <c r="H116" s="581">
        <v>0</v>
      </c>
      <c r="I116" s="581">
        <v>0</v>
      </c>
      <c r="J116" s="581">
        <v>0</v>
      </c>
      <c r="K116" s="582">
        <f t="shared" si="13"/>
        <v>0</v>
      </c>
      <c r="M116" s="583">
        <f>SUMIF('CF.2'!$H$5:$H$24,'CF.1'!E116,'CF.2'!$J$5:$J$24)-SUMIF('CF.2'!$K$5:$K$24,'CF.1'!E116,'CF.2'!$M$5:$M$24)</f>
        <v>0</v>
      </c>
      <c r="N116" s="581">
        <f>SUMIF('CF.2'!$H$30:$H$59,'CF.1'!E116,'CF.2'!$J$30:$J$59)+SUMIF('CF.2'!$K$30:$K$59,'CF.1'!E116,'CF.2'!$M$30:$M$59)</f>
        <v>0</v>
      </c>
      <c r="O116" s="581">
        <f>SUMIF('CF.2'!$H$64:$H$98,'CF.1'!E116,'CF.2'!$J$64:$J$98)+SUMIF('CF.2'!$K$64:$K$98,'CF.1'!E116,'CF.2'!$M$64:$M$98)</f>
        <v>0</v>
      </c>
      <c r="P116" s="581">
        <f>SUMIF('CF.2'!$H$102:$H$108,'CF.1'!E116,'CF.2'!$J$102:$J$108)+SUMIF('CF.2'!$K$102:$K$108,'CF.1'!E116,'CF.2'!$M$102:$M$108)</f>
        <v>0</v>
      </c>
      <c r="Q116" s="581">
        <f>SUMIF('CF.2'!$H$113:$H$121,'CF.1'!E116,'CF.2'!$J$113:$J$121)+SUMIF('CF.2'!$K$113:$K$121,'CF.1'!E116,'CF.2'!$M$113:$M$121)</f>
        <v>0</v>
      </c>
      <c r="R116" s="582">
        <f t="shared" si="11"/>
        <v>0</v>
      </c>
      <c r="T116" s="584">
        <f t="shared" si="14"/>
        <v>0</v>
      </c>
    </row>
    <row r="117" spans="3:22" ht="18" customHeight="1">
      <c r="C117" s="6">
        <v>1</v>
      </c>
      <c r="D117" s="578" t="s">
        <v>888</v>
      </c>
      <c r="E117" s="579" t="s">
        <v>888</v>
      </c>
      <c r="F117" s="580"/>
      <c r="G117" s="579" t="s">
        <v>889</v>
      </c>
      <c r="H117" s="581">
        <v>0</v>
      </c>
      <c r="I117" s="581">
        <v>0</v>
      </c>
      <c r="J117" s="581">
        <v>0</v>
      </c>
      <c r="K117" s="582">
        <f t="shared" si="13"/>
        <v>0</v>
      </c>
      <c r="M117" s="583">
        <f>SUMIF('CF.2'!$H$5:$H$24,'CF.1'!E117,'CF.2'!$J$5:$J$24)-SUMIF('CF.2'!$K$5:$K$24,'CF.1'!E117,'CF.2'!$M$5:$M$24)</f>
        <v>0</v>
      </c>
      <c r="N117" s="581">
        <f>SUMIF('CF.2'!$H$30:$H$59,'CF.1'!E117,'CF.2'!$J$30:$J$59)+SUMIF('CF.2'!$K$30:$K$59,'CF.1'!E117,'CF.2'!$M$30:$M$59)</f>
        <v>0</v>
      </c>
      <c r="O117" s="581">
        <f>SUMIF('CF.2'!$H$64:$H$98,'CF.1'!E117,'CF.2'!$J$64:$J$98)+SUMIF('CF.2'!$K$64:$K$98,'CF.1'!E117,'CF.2'!$M$64:$M$98)</f>
        <v>0</v>
      </c>
      <c r="P117" s="581">
        <f>SUMIF('CF.2'!$H$102:$H$108,'CF.1'!E117,'CF.2'!$J$102:$J$108)+SUMIF('CF.2'!$K$102:$K$108,'CF.1'!E117,'CF.2'!$M$102:$M$108)</f>
        <v>0</v>
      </c>
      <c r="Q117" s="581">
        <f>SUMIF('CF.2'!$H$113:$H$121,'CF.1'!E117,'CF.2'!$J$113:$J$121)+SUMIF('CF.2'!$K$113:$K$121,'CF.1'!E117,'CF.2'!$M$113:$M$121)</f>
        <v>0</v>
      </c>
      <c r="R117" s="582">
        <f t="shared" si="11"/>
        <v>0</v>
      </c>
      <c r="T117" s="584">
        <f t="shared" si="14"/>
        <v>0</v>
      </c>
    </row>
    <row r="118" spans="3:22" ht="18" customHeight="1">
      <c r="C118" s="6">
        <v>1</v>
      </c>
      <c r="D118" s="578" t="s">
        <v>890</v>
      </c>
      <c r="E118" s="579" t="s">
        <v>890</v>
      </c>
      <c r="F118" s="580"/>
      <c r="G118" s="579" t="s">
        <v>891</v>
      </c>
      <c r="H118" s="581">
        <v>0</v>
      </c>
      <c r="I118" s="581">
        <v>0</v>
      </c>
      <c r="J118" s="581">
        <v>0</v>
      </c>
      <c r="K118" s="582">
        <f t="shared" si="13"/>
        <v>0</v>
      </c>
      <c r="M118" s="583">
        <f>SUMIF('CF.2'!$H$5:$H$24,'CF.1'!E118,'CF.2'!$J$5:$J$24)-SUMIF('CF.2'!$K$5:$K$24,'CF.1'!E118,'CF.2'!$M$5:$M$24)</f>
        <v>0</v>
      </c>
      <c r="N118" s="581">
        <f>SUMIF('CF.2'!$H$30:$H$59,'CF.1'!E118,'CF.2'!$J$30:$J$59)+SUMIF('CF.2'!$K$30:$K$59,'CF.1'!E118,'CF.2'!$M$30:$M$59)</f>
        <v>0</v>
      </c>
      <c r="O118" s="581">
        <f>SUMIF('CF.2'!$H$64:$H$98,'CF.1'!E118,'CF.2'!$J$64:$J$98)+SUMIF('CF.2'!$K$64:$K$98,'CF.1'!E118,'CF.2'!$M$64:$M$98)</f>
        <v>0</v>
      </c>
      <c r="P118" s="581">
        <f>SUMIF('CF.2'!$H$102:$H$108,'CF.1'!E118,'CF.2'!$J$102:$J$108)+SUMIF('CF.2'!$K$102:$K$108,'CF.1'!E118,'CF.2'!$M$102:$M$108)</f>
        <v>0</v>
      </c>
      <c r="Q118" s="581">
        <f>SUMIF('CF.2'!$H$113:$H$121,'CF.1'!E118,'CF.2'!$J$113:$J$121)+SUMIF('CF.2'!$K$113:$K$121,'CF.1'!E118,'CF.2'!$M$113:$M$121)</f>
        <v>0</v>
      </c>
      <c r="R118" s="582">
        <f t="shared" si="11"/>
        <v>0</v>
      </c>
      <c r="T118" s="584">
        <f t="shared" si="14"/>
        <v>0</v>
      </c>
    </row>
    <row r="119" spans="3:22" ht="18" customHeight="1">
      <c r="C119" s="6">
        <v>1</v>
      </c>
      <c r="D119" s="578" t="s">
        <v>892</v>
      </c>
      <c r="E119" s="579" t="s">
        <v>892</v>
      </c>
      <c r="F119" s="580"/>
      <c r="G119" s="579" t="s">
        <v>893</v>
      </c>
      <c r="H119" s="581">
        <v>0</v>
      </c>
      <c r="I119" s="581">
        <v>0</v>
      </c>
      <c r="J119" s="581">
        <v>0</v>
      </c>
      <c r="K119" s="582">
        <f t="shared" si="13"/>
        <v>0</v>
      </c>
      <c r="M119" s="583">
        <f>SUMIF('CF.2'!$H$5:$H$24,'CF.1'!E119,'CF.2'!$J$5:$J$24)-SUMIF('CF.2'!$K$5:$K$24,'CF.1'!E119,'CF.2'!$M$5:$M$24)</f>
        <v>0</v>
      </c>
      <c r="N119" s="581">
        <f>SUMIF('CF.2'!$H$30:$H$59,'CF.1'!E119,'CF.2'!$J$30:$J$59)+SUMIF('CF.2'!$K$30:$K$59,'CF.1'!E119,'CF.2'!$M$30:$M$59)</f>
        <v>0</v>
      </c>
      <c r="O119" s="581">
        <f>SUMIF('CF.2'!$H$64:$H$98,'CF.1'!E119,'CF.2'!$J$64:$J$98)+SUMIF('CF.2'!$K$64:$K$98,'CF.1'!E119,'CF.2'!$M$64:$M$98)</f>
        <v>0</v>
      </c>
      <c r="P119" s="581">
        <f>SUMIF('CF.2'!$H$102:$H$108,'CF.1'!E119,'CF.2'!$J$102:$J$108)+SUMIF('CF.2'!$K$102:$K$108,'CF.1'!E119,'CF.2'!$M$102:$M$108)</f>
        <v>0</v>
      </c>
      <c r="Q119" s="581">
        <f>SUMIF('CF.2'!$H$113:$H$121,'CF.1'!E119,'CF.2'!$J$113:$J$121)+SUMIF('CF.2'!$K$113:$K$121,'CF.1'!E119,'CF.2'!$M$113:$M$121)</f>
        <v>0</v>
      </c>
      <c r="R119" s="582">
        <f t="shared" si="11"/>
        <v>0</v>
      </c>
      <c r="T119" s="584">
        <f t="shared" si="14"/>
        <v>0</v>
      </c>
    </row>
    <row r="120" spans="3:22" ht="18" customHeight="1">
      <c r="C120" s="6">
        <v>1</v>
      </c>
      <c r="D120" s="578" t="s">
        <v>894</v>
      </c>
      <c r="E120" s="579" t="s">
        <v>894</v>
      </c>
      <c r="F120" s="580"/>
      <c r="G120" s="579" t="s">
        <v>895</v>
      </c>
      <c r="H120" s="581">
        <v>0</v>
      </c>
      <c r="I120" s="581">
        <v>0</v>
      </c>
      <c r="J120" s="581">
        <v>0</v>
      </c>
      <c r="K120" s="582">
        <f t="shared" si="13"/>
        <v>0</v>
      </c>
      <c r="M120" s="583">
        <f>SUMIF('CF.2'!$H$5:$H$24,'CF.1'!E120,'CF.2'!$J$5:$J$24)-SUMIF('CF.2'!$K$5:$K$24,'CF.1'!E120,'CF.2'!$M$5:$M$24)</f>
        <v>0</v>
      </c>
      <c r="N120" s="581">
        <f>SUMIF('CF.2'!$H$30:$H$59,'CF.1'!E120,'CF.2'!$J$30:$J$59)+SUMIF('CF.2'!$K$30:$K$59,'CF.1'!E120,'CF.2'!$M$30:$M$59)</f>
        <v>0</v>
      </c>
      <c r="O120" s="581">
        <f>SUMIF('CF.2'!$H$64:$H$98,'CF.1'!E120,'CF.2'!$J$64:$J$98)+SUMIF('CF.2'!$K$64:$K$98,'CF.1'!E120,'CF.2'!$M$64:$M$98)</f>
        <v>0</v>
      </c>
      <c r="P120" s="581">
        <f>SUMIF('CF.2'!$H$102:$H$108,'CF.1'!E120,'CF.2'!$J$102:$J$108)+SUMIF('CF.2'!$K$102:$K$108,'CF.1'!E120,'CF.2'!$M$102:$M$108)</f>
        <v>0</v>
      </c>
      <c r="Q120" s="581">
        <f>SUMIF('CF.2'!$H$113:$H$121,'CF.1'!E120,'CF.2'!$J$113:$J$121)+SUMIF('CF.2'!$K$113:$K$121,'CF.1'!E120,'CF.2'!$M$113:$M$121)</f>
        <v>0</v>
      </c>
      <c r="R120" s="582">
        <f t="shared" si="11"/>
        <v>0</v>
      </c>
      <c r="T120" s="584">
        <f t="shared" si="14"/>
        <v>0</v>
      </c>
    </row>
    <row r="121" spans="3:22" ht="18" customHeight="1">
      <c r="C121" s="6">
        <v>1</v>
      </c>
      <c r="D121" s="578" t="s">
        <v>896</v>
      </c>
      <c r="E121" s="579" t="s">
        <v>896</v>
      </c>
      <c r="F121" s="580"/>
      <c r="G121" s="579" t="s">
        <v>897</v>
      </c>
      <c r="H121" s="581">
        <v>0</v>
      </c>
      <c r="I121" s="581">
        <v>0</v>
      </c>
      <c r="J121" s="581">
        <v>0</v>
      </c>
      <c r="K121" s="582">
        <f t="shared" si="13"/>
        <v>0</v>
      </c>
      <c r="M121" s="583">
        <f>SUMIF('CF.2'!$H$5:$H$24,'CF.1'!E121,'CF.2'!$J$5:$J$24)-SUMIF('CF.2'!$K$5:$K$24,'CF.1'!E121,'CF.2'!$M$5:$M$24)</f>
        <v>0</v>
      </c>
      <c r="N121" s="581">
        <f>SUMIF('CF.2'!$H$30:$H$59,'CF.1'!E121,'CF.2'!$J$30:$J$59)+SUMIF('CF.2'!$K$30:$K$59,'CF.1'!E121,'CF.2'!$M$30:$M$59)</f>
        <v>0</v>
      </c>
      <c r="O121" s="581">
        <f>SUMIF('CF.2'!$H$64:$H$98,'CF.1'!E121,'CF.2'!$J$64:$J$98)+SUMIF('CF.2'!$K$64:$K$98,'CF.1'!E121,'CF.2'!$M$64:$M$98)</f>
        <v>0</v>
      </c>
      <c r="P121" s="581">
        <f>SUMIF('CF.2'!$H$102:$H$108,'CF.1'!E121,'CF.2'!$J$102:$J$108)+SUMIF('CF.2'!$K$102:$K$108,'CF.1'!E121,'CF.2'!$M$102:$M$108)</f>
        <v>0</v>
      </c>
      <c r="Q121" s="581">
        <f>SUMIF('CF.2'!$H$113:$H$121,'CF.1'!E121,'CF.2'!$J$113:$J$121)+SUMIF('CF.2'!$K$113:$K$121,'CF.1'!E121,'CF.2'!$M$113:$M$121)</f>
        <v>0</v>
      </c>
      <c r="R121" s="582">
        <f t="shared" si="11"/>
        <v>0</v>
      </c>
      <c r="T121" s="584">
        <f t="shared" si="14"/>
        <v>0</v>
      </c>
    </row>
    <row r="122" spans="3:22" ht="18" customHeight="1">
      <c r="C122" s="6">
        <v>1</v>
      </c>
      <c r="D122" s="578" t="s">
        <v>898</v>
      </c>
      <c r="E122" s="579" t="s">
        <v>898</v>
      </c>
      <c r="F122" s="580"/>
      <c r="G122" s="579" t="s">
        <v>899</v>
      </c>
      <c r="H122" s="581">
        <v>0</v>
      </c>
      <c r="I122" s="581">
        <v>0</v>
      </c>
      <c r="J122" s="581">
        <v>0</v>
      </c>
      <c r="K122" s="582">
        <f t="shared" si="13"/>
        <v>0</v>
      </c>
      <c r="M122" s="583">
        <f>SUMIF('CF.2'!$H$5:$H$24,'CF.1'!E122,'CF.2'!$J$5:$J$24)-SUMIF('CF.2'!$K$5:$K$24,'CF.1'!E122,'CF.2'!$M$5:$M$24)</f>
        <v>0</v>
      </c>
      <c r="N122" s="581">
        <f>SUMIF('CF.2'!$H$30:$H$59,'CF.1'!E122,'CF.2'!$J$30:$J$59)+SUMIF('CF.2'!$K$30:$K$59,'CF.1'!E122,'CF.2'!$M$30:$M$59)</f>
        <v>0</v>
      </c>
      <c r="O122" s="581">
        <f>SUMIF('CF.2'!$H$64:$H$98,'CF.1'!E122,'CF.2'!$J$64:$J$98)+SUMIF('CF.2'!$K$64:$K$98,'CF.1'!E122,'CF.2'!$M$64:$M$98)</f>
        <v>0</v>
      </c>
      <c r="P122" s="581">
        <f>SUMIF('CF.2'!$H$102:$H$108,'CF.1'!E122,'CF.2'!$J$102:$J$108)+SUMIF('CF.2'!$K$102:$K$108,'CF.1'!E122,'CF.2'!$M$102:$M$108)</f>
        <v>0</v>
      </c>
      <c r="Q122" s="581">
        <f>SUMIF('CF.2'!$H$113:$H$121,'CF.1'!E122,'CF.2'!$J$113:$J$121)+SUMIF('CF.2'!$K$113:$K$121,'CF.1'!E122,'CF.2'!$M$113:$M$121)</f>
        <v>0</v>
      </c>
      <c r="R122" s="582">
        <f t="shared" si="11"/>
        <v>0</v>
      </c>
      <c r="T122" s="584">
        <f t="shared" si="14"/>
        <v>0</v>
      </c>
    </row>
    <row r="123" spans="3:22" ht="18" customHeight="1">
      <c r="C123" s="6">
        <v>1</v>
      </c>
      <c r="D123" s="578" t="s">
        <v>900</v>
      </c>
      <c r="E123" s="579" t="s">
        <v>900</v>
      </c>
      <c r="F123" s="580"/>
      <c r="G123" s="579" t="s">
        <v>901</v>
      </c>
      <c r="H123" s="581">
        <v>0</v>
      </c>
      <c r="I123" s="581">
        <v>0</v>
      </c>
      <c r="J123" s="581">
        <v>0</v>
      </c>
      <c r="K123" s="582">
        <f t="shared" si="13"/>
        <v>0</v>
      </c>
      <c r="M123" s="583">
        <f>SUMIF('CF.2'!$H$5:$H$24,'CF.1'!E123,'CF.2'!$J$5:$J$24)-SUMIF('CF.2'!$K$5:$K$24,'CF.1'!E123,'CF.2'!$M$5:$M$24)</f>
        <v>0</v>
      </c>
      <c r="N123" s="581">
        <f>SUMIF('CF.2'!$H$30:$H$59,'CF.1'!E123,'CF.2'!$J$30:$J$59)+SUMIF('CF.2'!$K$30:$K$59,'CF.1'!E123,'CF.2'!$M$30:$M$59)</f>
        <v>0</v>
      </c>
      <c r="O123" s="581">
        <f>SUMIF('CF.2'!$H$64:$H$98,'CF.1'!E123,'CF.2'!$J$64:$J$98)+SUMIF('CF.2'!$K$64:$K$98,'CF.1'!E123,'CF.2'!$M$64:$M$98)</f>
        <v>0</v>
      </c>
      <c r="P123" s="581">
        <f>SUMIF('CF.2'!$H$102:$H$108,'CF.1'!E123,'CF.2'!$J$102:$J$108)+SUMIF('CF.2'!$K$102:$K$108,'CF.1'!E123,'CF.2'!$M$102:$M$108)</f>
        <v>0</v>
      </c>
      <c r="Q123" s="581">
        <f>SUMIF('CF.2'!$H$113:$H$121,'CF.1'!E123,'CF.2'!$J$113:$J$121)+SUMIF('CF.2'!$K$113:$K$121,'CF.1'!E123,'CF.2'!$M$113:$M$121)</f>
        <v>0</v>
      </c>
      <c r="R123" s="582">
        <f t="shared" si="11"/>
        <v>0</v>
      </c>
      <c r="T123" s="584">
        <f t="shared" si="14"/>
        <v>0</v>
      </c>
    </row>
    <row r="124" spans="3:22" ht="18" customHeight="1">
      <c r="C124" s="6">
        <v>1</v>
      </c>
      <c r="D124" s="578" t="s">
        <v>902</v>
      </c>
      <c r="E124" s="579" t="s">
        <v>902</v>
      </c>
      <c r="F124" s="580" t="s">
        <v>903</v>
      </c>
      <c r="G124" s="579" t="s">
        <v>903</v>
      </c>
      <c r="H124" s="581">
        <v>-14178273</v>
      </c>
      <c r="I124" s="581">
        <v>0</v>
      </c>
      <c r="J124" s="581">
        <v>-12373767</v>
      </c>
      <c r="K124" s="582">
        <f t="shared" si="13"/>
        <v>-26552040</v>
      </c>
      <c r="M124" s="583">
        <f>SUMIF('CF.2'!$H$5:$H$24,'CF.1'!E124,'CF.2'!$J$5:$J$24)-SUMIF('CF.2'!$K$5:$K$24,'CF.1'!E124,'CF.2'!$M$5:$M$24)</f>
        <v>0</v>
      </c>
      <c r="N124" s="581">
        <f>SUMIF('CF.2'!$H$30:$H$59,'CF.1'!E124,'CF.2'!$J$30:$J$59)+SUMIF('CF.2'!$K$30:$K$59,'CF.1'!E124,'CF.2'!$M$30:$M$59)</f>
        <v>0</v>
      </c>
      <c r="O124" s="581">
        <f>SUMIF('CF.2'!$H$64:$H$98,'CF.1'!E124,'CF.2'!$J$64:$J$98)+SUMIF('CF.2'!$K$64:$K$98,'CF.1'!E124,'CF.2'!$M$64:$M$98)</f>
        <v>0</v>
      </c>
      <c r="P124" s="581">
        <f>SUMIF('CF.2'!$H$102:$H$108,'CF.1'!E124,'CF.2'!$J$102:$J$108)+SUMIF('CF.2'!$K$102:$K$108,'CF.1'!E124,'CF.2'!$M$102:$M$108)</f>
        <v>0</v>
      </c>
      <c r="Q124" s="581">
        <f>SUMIF('CF.2'!$H$113:$H$121,'CF.1'!E124,'CF.2'!$J$113:$J$121)+SUMIF('CF.2'!$K$113:$K$121,'CF.1'!E124,'CF.2'!$M$113:$M$121)</f>
        <v>0</v>
      </c>
      <c r="R124" s="582">
        <f t="shared" si="11"/>
        <v>0</v>
      </c>
      <c r="T124" s="584">
        <f t="shared" si="14"/>
        <v>-26552040</v>
      </c>
    </row>
    <row r="125" spans="3:22" ht="18" customHeight="1">
      <c r="C125" s="6">
        <v>1</v>
      </c>
      <c r="D125" s="571" t="s">
        <v>904</v>
      </c>
      <c r="E125" s="572" t="s">
        <v>904</v>
      </c>
      <c r="F125" s="573"/>
      <c r="G125" s="572" t="s">
        <v>905</v>
      </c>
      <c r="H125" s="574">
        <f>SUM(H126:H174)</f>
        <v>15070839320</v>
      </c>
      <c r="I125" s="574">
        <f>SUM(I126:I174)</f>
        <v>1813415739</v>
      </c>
      <c r="J125" s="574">
        <f>SUM(J126:J174)</f>
        <v>-589408058</v>
      </c>
      <c r="K125" s="575">
        <f>SUM(K126:K174)</f>
        <v>16294847001</v>
      </c>
      <c r="M125" s="576">
        <f t="shared" ref="M125:R125" si="15">SUM(M126:M174)</f>
        <v>0</v>
      </c>
      <c r="N125" s="574">
        <f t="shared" si="15"/>
        <v>28546061</v>
      </c>
      <c r="O125" s="574">
        <f t="shared" si="15"/>
        <v>0</v>
      </c>
      <c r="P125" s="574">
        <f t="shared" si="15"/>
        <v>0</v>
      </c>
      <c r="Q125" s="574">
        <f t="shared" si="15"/>
        <v>0</v>
      </c>
      <c r="R125" s="575">
        <f t="shared" si="15"/>
        <v>28546061</v>
      </c>
      <c r="T125" s="577">
        <f>SUM(T126:T174)</f>
        <v>16323393062</v>
      </c>
      <c r="V125" s="7">
        <f>T125-CFS!K106</f>
        <v>0</v>
      </c>
    </row>
    <row r="126" spans="3:22" ht="18" customHeight="1">
      <c r="C126" s="6">
        <v>1</v>
      </c>
      <c r="D126" s="578" t="s">
        <v>906</v>
      </c>
      <c r="E126" s="579" t="s">
        <v>906</v>
      </c>
      <c r="F126" s="580" t="s">
        <v>1467</v>
      </c>
      <c r="G126" s="579" t="s">
        <v>907</v>
      </c>
      <c r="H126" s="879">
        <v>2384522262</v>
      </c>
      <c r="I126" s="581">
        <v>754289264</v>
      </c>
      <c r="J126" s="581">
        <v>1657286287</v>
      </c>
      <c r="K126" s="582">
        <f t="shared" ref="K126:K157" si="16">SUM(H126:J126)</f>
        <v>4796097813</v>
      </c>
      <c r="M126" s="583">
        <f>SUMIF('CF.2'!$H$5:$H$24,'CF.1'!E126,'CF.2'!$J$5:$J$24)-SUMIF('CF.2'!$K$5:$K$24,'CF.1'!E126,'CF.2'!$M$5:$M$24)</f>
        <v>0</v>
      </c>
      <c r="N126" s="581">
        <f>SUMIF('CF.2'!$H$30:$H$59,'CF.1'!E126,'CF.2'!$J$30:$J$59)+SUMIF('CF.2'!$K$30:$K$59,'CF.1'!E126,'CF.2'!$M$30:$M$59)</f>
        <v>0</v>
      </c>
      <c r="O126" s="581">
        <f>SUMIF('CF.2'!$H$64:$H$98,'CF.1'!E126,'CF.2'!$J$64:$J$98)+SUMIF('CF.2'!$K$64:$K$98,'CF.1'!E126,'CF.2'!$M$64:$M$98)</f>
        <v>-456188581</v>
      </c>
      <c r="P126" s="581">
        <f>SUMIF('CF.2'!$H$102:$H$108,'CF.1'!E126,'CF.2'!$J$102:$J$108)+SUMIF('CF.2'!$K$102:$K$108,'CF.1'!E126,'CF.2'!$M$102:$M$108)</f>
        <v>0</v>
      </c>
      <c r="Q126" s="581">
        <f>SUMIF('CF.2'!$H$113:$H$121,'CF.1'!E126,'CF.2'!$J$113:$J$121)+SUMIF('CF.2'!$K$113:$K$121,'CF.1'!E126,'CF.2'!$M$113:$M$121)</f>
        <v>282047680</v>
      </c>
      <c r="R126" s="582">
        <f t="shared" ref="R126:R174" si="17">SUM(M126:Q126)</f>
        <v>-174140901</v>
      </c>
      <c r="T126" s="584">
        <f t="shared" ref="T126:T157" si="18">ROUND(R126+K126,0)</f>
        <v>4621956912</v>
      </c>
    </row>
    <row r="127" spans="3:22" ht="18" customHeight="1">
      <c r="C127" s="6">
        <v>1</v>
      </c>
      <c r="D127" s="578" t="s">
        <v>908</v>
      </c>
      <c r="E127" s="579" t="s">
        <v>908</v>
      </c>
      <c r="F127" s="580" t="s">
        <v>1468</v>
      </c>
      <c r="G127" s="579" t="s">
        <v>909</v>
      </c>
      <c r="H127" s="879">
        <v>-12446309822</v>
      </c>
      <c r="I127" s="581">
        <v>301190797</v>
      </c>
      <c r="J127" s="581">
        <v>-22101400</v>
      </c>
      <c r="K127" s="582">
        <f t="shared" si="16"/>
        <v>-12167220425</v>
      </c>
      <c r="M127" s="583">
        <f>SUMIF('CF.2'!$H$5:$H$24,'CF.1'!E127,'CF.2'!$J$5:$J$24)-SUMIF('CF.2'!$K$5:$K$24,'CF.1'!E127,'CF.2'!$M$5:$M$24)</f>
        <v>0</v>
      </c>
      <c r="N127" s="581">
        <f>SUMIF('CF.2'!$H$30:$H$59,'CF.1'!E127,'CF.2'!$J$30:$J$59)+SUMIF('CF.2'!$K$30:$K$59,'CF.1'!E127,'CF.2'!$M$30:$M$59)</f>
        <v>0</v>
      </c>
      <c r="O127" s="581">
        <f>SUMIF('CF.2'!$H$64:$H$98,'CF.1'!E127,'CF.2'!$J$64:$J$98)+SUMIF('CF.2'!$K$64:$K$98,'CF.1'!E127,'CF.2'!$M$64:$M$98)</f>
        <v>-260564</v>
      </c>
      <c r="P127" s="581">
        <f>SUMIF('CF.2'!$H$102:$H$108,'CF.1'!E127,'CF.2'!$J$102:$J$108)+SUMIF('CF.2'!$K$102:$K$108,'CF.1'!E127,'CF.2'!$M$102:$M$108)</f>
        <v>0</v>
      </c>
      <c r="Q127" s="581">
        <f>SUMIF('CF.2'!$H$113:$H$121,'CF.1'!E127,'CF.2'!$J$113:$J$121)+SUMIF('CF.2'!$K$113:$K$121,'CF.1'!E127,'CF.2'!$M$113:$M$121)</f>
        <v>-282047680</v>
      </c>
      <c r="R127" s="582">
        <f t="shared" si="17"/>
        <v>-282308244</v>
      </c>
      <c r="T127" s="584">
        <f t="shared" si="18"/>
        <v>-12449528669</v>
      </c>
    </row>
    <row r="128" spans="3:22" ht="18" customHeight="1">
      <c r="C128" s="6">
        <v>1</v>
      </c>
      <c r="D128" s="578" t="s">
        <v>910</v>
      </c>
      <c r="E128" s="579" t="s">
        <v>910</v>
      </c>
      <c r="F128" s="580" t="s">
        <v>1468</v>
      </c>
      <c r="G128" s="579" t="s">
        <v>911</v>
      </c>
      <c r="H128" s="879">
        <v>0</v>
      </c>
      <c r="I128" s="581">
        <v>-395412</v>
      </c>
      <c r="J128" s="581">
        <v>0</v>
      </c>
      <c r="K128" s="582">
        <f t="shared" si="16"/>
        <v>-395412</v>
      </c>
      <c r="M128" s="583">
        <f>SUMIF('CF.2'!$H$5:$H$24,'CF.1'!E128,'CF.2'!$J$5:$J$24)-SUMIF('CF.2'!$K$5:$K$24,'CF.1'!E128,'CF.2'!$M$5:$M$24)</f>
        <v>0</v>
      </c>
      <c r="N128" s="581">
        <f>SUMIF('CF.2'!$H$30:$H$59,'CF.1'!E128,'CF.2'!$J$30:$J$59)+SUMIF('CF.2'!$K$30:$K$59,'CF.1'!E128,'CF.2'!$M$30:$M$59)</f>
        <v>0</v>
      </c>
      <c r="O128" s="581">
        <f>SUMIF('CF.2'!$H$64:$H$98,'CF.1'!E128,'CF.2'!$J$64:$J$98)+SUMIF('CF.2'!$K$64:$K$98,'CF.1'!E128,'CF.2'!$M$64:$M$98)</f>
        <v>8564195</v>
      </c>
      <c r="P128" s="581">
        <f>SUMIF('CF.2'!$H$102:$H$108,'CF.1'!E128,'CF.2'!$J$102:$J$108)+SUMIF('CF.2'!$K$102:$K$108,'CF.1'!E128,'CF.2'!$M$102:$M$108)</f>
        <v>0</v>
      </c>
      <c r="Q128" s="581">
        <f>SUMIF('CF.2'!$H$113:$H$121,'CF.1'!E128,'CF.2'!$J$113:$J$121)+SUMIF('CF.2'!$K$113:$K$121,'CF.1'!E128,'CF.2'!$M$113:$M$121)</f>
        <v>0</v>
      </c>
      <c r="R128" s="582">
        <f t="shared" si="17"/>
        <v>8564195</v>
      </c>
      <c r="T128" s="584">
        <f t="shared" si="18"/>
        <v>8168783</v>
      </c>
    </row>
    <row r="129" spans="3:20" ht="18" customHeight="1">
      <c r="C129" s="6">
        <v>1</v>
      </c>
      <c r="D129" s="578" t="s">
        <v>912</v>
      </c>
      <c r="E129" s="579" t="s">
        <v>912</v>
      </c>
      <c r="F129" s="580" t="s">
        <v>1469</v>
      </c>
      <c r="G129" s="579" t="s">
        <v>913</v>
      </c>
      <c r="H129" s="879">
        <v>-846389059</v>
      </c>
      <c r="I129" s="581">
        <v>415389972</v>
      </c>
      <c r="J129" s="581">
        <v>18914665</v>
      </c>
      <c r="K129" s="582">
        <f t="shared" si="16"/>
        <v>-412084422</v>
      </c>
      <c r="M129" s="583">
        <f>SUMIF('CF.2'!$H$5:$H$24,'CF.1'!E129,'CF.2'!$J$5:$J$24)-SUMIF('CF.2'!$K$5:$K$24,'CF.1'!E129,'CF.2'!$M$5:$M$24)</f>
        <v>0</v>
      </c>
      <c r="N129" s="581">
        <f>SUMIF('CF.2'!$H$30:$H$59,'CF.1'!E129,'CF.2'!$J$30:$J$59)+SUMIF('CF.2'!$K$30:$K$59,'CF.1'!E129,'CF.2'!$M$30:$M$59)</f>
        <v>0</v>
      </c>
      <c r="O129" s="581">
        <f>SUMIF('CF.2'!$H$64:$H$98,'CF.1'!E129,'CF.2'!$J$64:$J$98)+SUMIF('CF.2'!$K$64:$K$98,'CF.1'!E129,'CF.2'!$M$64:$M$98)</f>
        <v>0</v>
      </c>
      <c r="P129" s="581">
        <f>SUMIF('CF.2'!$H$102:$H$108,'CF.1'!E129,'CF.2'!$J$102:$J$108)+SUMIF('CF.2'!$K$102:$K$108,'CF.1'!E129,'CF.2'!$M$102:$M$108)</f>
        <v>0</v>
      </c>
      <c r="Q129" s="581">
        <f>SUMIF('CF.2'!$H$113:$H$121,'CF.1'!E129,'CF.2'!$J$113:$J$121)+SUMIF('CF.2'!$K$113:$K$121,'CF.1'!E129,'CF.2'!$M$113:$M$121)</f>
        <v>0</v>
      </c>
      <c r="R129" s="582">
        <f t="shared" si="17"/>
        <v>0</v>
      </c>
      <c r="T129" s="584">
        <f t="shared" si="18"/>
        <v>-412084422</v>
      </c>
    </row>
    <row r="130" spans="3:20" ht="18" customHeight="1">
      <c r="C130" s="6">
        <v>1</v>
      </c>
      <c r="D130" s="578" t="s">
        <v>914</v>
      </c>
      <c r="E130" s="579" t="s">
        <v>914</v>
      </c>
      <c r="F130" s="580"/>
      <c r="G130" s="579" t="s">
        <v>915</v>
      </c>
      <c r="H130" s="879">
        <v>0</v>
      </c>
      <c r="I130" s="581">
        <v>0</v>
      </c>
      <c r="J130" s="581">
        <v>0</v>
      </c>
      <c r="K130" s="582">
        <f t="shared" si="16"/>
        <v>0</v>
      </c>
      <c r="M130" s="583">
        <f>SUMIF('CF.2'!$H$5:$H$24,'CF.1'!E130,'CF.2'!$J$5:$J$24)-SUMIF('CF.2'!$K$5:$K$24,'CF.1'!E130,'CF.2'!$M$5:$M$24)</f>
        <v>0</v>
      </c>
      <c r="N130" s="581">
        <f>SUMIF('CF.2'!$H$30:$H$59,'CF.1'!E130,'CF.2'!$J$30:$J$59)+SUMIF('CF.2'!$K$30:$K$59,'CF.1'!E130,'CF.2'!$M$30:$M$59)</f>
        <v>0</v>
      </c>
      <c r="O130" s="581">
        <f>SUMIF('CF.2'!$H$64:$H$98,'CF.1'!E130,'CF.2'!$J$64:$J$98)+SUMIF('CF.2'!$K$64:$K$98,'CF.1'!E130,'CF.2'!$M$64:$M$98)</f>
        <v>0</v>
      </c>
      <c r="P130" s="581">
        <f>SUMIF('CF.2'!$H$102:$H$108,'CF.1'!E130,'CF.2'!$J$102:$J$108)+SUMIF('CF.2'!$K$102:$K$108,'CF.1'!E130,'CF.2'!$M$102:$M$108)</f>
        <v>0</v>
      </c>
      <c r="Q130" s="581">
        <f>SUMIF('CF.2'!$H$113:$H$121,'CF.1'!E130,'CF.2'!$J$113:$J$121)+SUMIF('CF.2'!$K$113:$K$121,'CF.1'!E130,'CF.2'!$M$113:$M$121)</f>
        <v>0</v>
      </c>
      <c r="R130" s="582">
        <f t="shared" si="17"/>
        <v>0</v>
      </c>
      <c r="T130" s="584">
        <f t="shared" si="18"/>
        <v>0</v>
      </c>
    </row>
    <row r="131" spans="3:20" ht="18" customHeight="1">
      <c r="C131" s="6">
        <v>1</v>
      </c>
      <c r="D131" s="578" t="s">
        <v>916</v>
      </c>
      <c r="E131" s="579" t="s">
        <v>916</v>
      </c>
      <c r="F131" s="580" t="s">
        <v>1469</v>
      </c>
      <c r="G131" s="579" t="s">
        <v>917</v>
      </c>
      <c r="H131" s="879">
        <v>-157741581</v>
      </c>
      <c r="I131" s="581">
        <v>0</v>
      </c>
      <c r="J131" s="581">
        <v>-4514653</v>
      </c>
      <c r="K131" s="582">
        <f t="shared" si="16"/>
        <v>-162256234</v>
      </c>
      <c r="M131" s="583">
        <f>SUMIF('CF.2'!$H$5:$H$24,'CF.1'!E131,'CF.2'!$J$5:$J$24)-SUMIF('CF.2'!$K$5:$K$24,'CF.1'!E131,'CF.2'!$M$5:$M$24)</f>
        <v>0</v>
      </c>
      <c r="N131" s="581">
        <f>SUMIF('CF.2'!$H$30:$H$59,'CF.1'!E131,'CF.2'!$J$30:$J$59)+SUMIF('CF.2'!$K$30:$K$59,'CF.1'!E131,'CF.2'!$M$30:$M$59)</f>
        <v>0</v>
      </c>
      <c r="O131" s="581">
        <f>SUMIF('CF.2'!$H$64:$H$98,'CF.1'!E131,'CF.2'!$J$64:$J$98)+SUMIF('CF.2'!$K$64:$K$98,'CF.1'!E131,'CF.2'!$M$64:$M$98)</f>
        <v>0</v>
      </c>
      <c r="P131" s="581">
        <f>SUMIF('CF.2'!$H$102:$H$108,'CF.1'!E131,'CF.2'!$J$102:$J$108)+SUMIF('CF.2'!$K$102:$K$108,'CF.1'!E131,'CF.2'!$M$102:$M$108)</f>
        <v>0</v>
      </c>
      <c r="Q131" s="581">
        <f>SUMIF('CF.2'!$H$113:$H$121,'CF.1'!E131,'CF.2'!$J$113:$J$121)+SUMIF('CF.2'!$K$113:$K$121,'CF.1'!E131,'CF.2'!$M$113:$M$121)</f>
        <v>0</v>
      </c>
      <c r="R131" s="582">
        <f t="shared" si="17"/>
        <v>0</v>
      </c>
      <c r="T131" s="584">
        <f t="shared" si="18"/>
        <v>-162256234</v>
      </c>
    </row>
    <row r="132" spans="3:20" ht="18" customHeight="1">
      <c r="C132" s="6">
        <v>1</v>
      </c>
      <c r="D132" s="578" t="s">
        <v>918</v>
      </c>
      <c r="E132" s="579" t="s">
        <v>918</v>
      </c>
      <c r="F132" s="580" t="s">
        <v>1468</v>
      </c>
      <c r="G132" s="579" t="s">
        <v>919</v>
      </c>
      <c r="H132" s="879">
        <v>0</v>
      </c>
      <c r="I132" s="581">
        <v>0</v>
      </c>
      <c r="J132" s="581">
        <v>0</v>
      </c>
      <c r="K132" s="582">
        <f t="shared" si="16"/>
        <v>0</v>
      </c>
      <c r="M132" s="583">
        <f>SUMIF('CF.2'!$H$5:$H$24,'CF.1'!E132,'CF.2'!$J$5:$J$24)-SUMIF('CF.2'!$K$5:$K$24,'CF.1'!E132,'CF.2'!$M$5:$M$24)</f>
        <v>0</v>
      </c>
      <c r="N132" s="581">
        <f>SUMIF('CF.2'!$H$30:$H$59,'CF.1'!E132,'CF.2'!$J$30:$J$59)+SUMIF('CF.2'!$K$30:$K$59,'CF.1'!E132,'CF.2'!$M$30:$M$59)</f>
        <v>0</v>
      </c>
      <c r="O132" s="581">
        <f>SUMIF('CF.2'!$H$64:$H$98,'CF.1'!E132,'CF.2'!$J$64:$J$98)+SUMIF('CF.2'!$K$64:$K$98,'CF.1'!E132,'CF.2'!$M$64:$M$98)</f>
        <v>0</v>
      </c>
      <c r="P132" s="581">
        <f>SUMIF('CF.2'!$H$102:$H$108,'CF.1'!E132,'CF.2'!$J$102:$J$108)+SUMIF('CF.2'!$K$102:$K$108,'CF.1'!E132,'CF.2'!$M$102:$M$108)</f>
        <v>0</v>
      </c>
      <c r="Q132" s="581">
        <f>SUMIF('CF.2'!$H$113:$H$121,'CF.1'!E132,'CF.2'!$J$113:$J$121)+SUMIF('CF.2'!$K$113:$K$121,'CF.1'!E132,'CF.2'!$M$113:$M$121)</f>
        <v>0</v>
      </c>
      <c r="R132" s="582">
        <f t="shared" si="17"/>
        <v>0</v>
      </c>
      <c r="T132" s="584">
        <f t="shared" si="18"/>
        <v>0</v>
      </c>
    </row>
    <row r="133" spans="3:20" ht="18" customHeight="1">
      <c r="C133" s="6">
        <v>1</v>
      </c>
      <c r="D133" s="578" t="s">
        <v>920</v>
      </c>
      <c r="E133" s="579" t="s">
        <v>920</v>
      </c>
      <c r="F133" s="580"/>
      <c r="G133" s="579" t="s">
        <v>921</v>
      </c>
      <c r="H133" s="879">
        <v>0</v>
      </c>
      <c r="I133" s="581">
        <v>0</v>
      </c>
      <c r="J133" s="581">
        <v>0</v>
      </c>
      <c r="K133" s="582">
        <f t="shared" si="16"/>
        <v>0</v>
      </c>
      <c r="M133" s="583">
        <f>SUMIF('CF.2'!$H$5:$H$24,'CF.1'!E133,'CF.2'!$J$5:$J$24)-SUMIF('CF.2'!$K$5:$K$24,'CF.1'!E133,'CF.2'!$M$5:$M$24)</f>
        <v>0</v>
      </c>
      <c r="N133" s="581">
        <f>SUMIF('CF.2'!$H$30:$H$59,'CF.1'!E133,'CF.2'!$J$30:$J$59)+SUMIF('CF.2'!$K$30:$K$59,'CF.1'!E133,'CF.2'!$M$30:$M$59)</f>
        <v>0</v>
      </c>
      <c r="O133" s="581">
        <f>SUMIF('CF.2'!$H$64:$H$98,'CF.1'!E133,'CF.2'!$J$64:$J$98)+SUMIF('CF.2'!$K$64:$K$98,'CF.1'!E133,'CF.2'!$M$64:$M$98)</f>
        <v>0</v>
      </c>
      <c r="P133" s="581">
        <f>SUMIF('CF.2'!$H$102:$H$108,'CF.1'!E133,'CF.2'!$J$102:$J$108)+SUMIF('CF.2'!$K$102:$K$108,'CF.1'!E133,'CF.2'!$M$102:$M$108)</f>
        <v>0</v>
      </c>
      <c r="Q133" s="581">
        <f>SUMIF('CF.2'!$H$113:$H$121,'CF.1'!E133,'CF.2'!$J$113:$J$121)+SUMIF('CF.2'!$K$113:$K$121,'CF.1'!E133,'CF.2'!$M$113:$M$121)</f>
        <v>0</v>
      </c>
      <c r="R133" s="582">
        <f t="shared" si="17"/>
        <v>0</v>
      </c>
      <c r="T133" s="584">
        <f t="shared" si="18"/>
        <v>0</v>
      </c>
    </row>
    <row r="134" spans="3:20" ht="18" customHeight="1">
      <c r="C134" s="6">
        <v>1</v>
      </c>
      <c r="D134" s="578" t="s">
        <v>922</v>
      </c>
      <c r="E134" s="579" t="s">
        <v>922</v>
      </c>
      <c r="F134" s="580" t="s">
        <v>1469</v>
      </c>
      <c r="G134" s="579" t="s">
        <v>923</v>
      </c>
      <c r="H134" s="879">
        <v>-354388</v>
      </c>
      <c r="I134" s="581">
        <v>0</v>
      </c>
      <c r="J134" s="581">
        <v>-112848665</v>
      </c>
      <c r="K134" s="582">
        <f t="shared" si="16"/>
        <v>-113203053</v>
      </c>
      <c r="M134" s="583">
        <f>SUMIF('CF.2'!$H$5:$H$24,'CF.1'!E134,'CF.2'!$J$5:$J$24)-SUMIF('CF.2'!$K$5:$K$24,'CF.1'!E134,'CF.2'!$M$5:$M$24)</f>
        <v>0</v>
      </c>
      <c r="N134" s="581">
        <f>SUMIF('CF.2'!$H$30:$H$59,'CF.1'!E134,'CF.2'!$J$30:$J$59)+SUMIF('CF.2'!$K$30:$K$59,'CF.1'!E134,'CF.2'!$M$30:$M$59)</f>
        <v>0</v>
      </c>
      <c r="O134" s="581">
        <f>SUMIF('CF.2'!$H$64:$H$98,'CF.1'!E134,'CF.2'!$J$64:$J$98)+SUMIF('CF.2'!$K$64:$K$98,'CF.1'!E134,'CF.2'!$M$64:$M$98)</f>
        <v>0</v>
      </c>
      <c r="P134" s="581">
        <f>SUMIF('CF.2'!$H$102:$H$108,'CF.1'!E134,'CF.2'!$J$102:$J$108)+SUMIF('CF.2'!$K$102:$K$108,'CF.1'!E134,'CF.2'!$M$102:$M$108)</f>
        <v>0</v>
      </c>
      <c r="Q134" s="581">
        <f>SUMIF('CF.2'!$H$113:$H$121,'CF.1'!E134,'CF.2'!$J$113:$J$121)+SUMIF('CF.2'!$K$113:$K$121,'CF.1'!E134,'CF.2'!$M$113:$M$121)</f>
        <v>0</v>
      </c>
      <c r="R134" s="582">
        <f t="shared" si="17"/>
        <v>0</v>
      </c>
      <c r="T134" s="584">
        <f t="shared" si="18"/>
        <v>-113203053</v>
      </c>
    </row>
    <row r="135" spans="3:20" ht="18" customHeight="1">
      <c r="C135" s="6">
        <v>1</v>
      </c>
      <c r="D135" s="578" t="s">
        <v>924</v>
      </c>
      <c r="E135" s="579" t="s">
        <v>924</v>
      </c>
      <c r="F135" s="580" t="s">
        <v>1470</v>
      </c>
      <c r="G135" s="579" t="s">
        <v>925</v>
      </c>
      <c r="H135" s="879">
        <v>3989550049</v>
      </c>
      <c r="I135" s="581">
        <v>118978653</v>
      </c>
      <c r="J135" s="581">
        <v>-527466708</v>
      </c>
      <c r="K135" s="582">
        <f t="shared" si="16"/>
        <v>3581061994</v>
      </c>
      <c r="M135" s="583">
        <f>SUMIF('CF.2'!$H$5:$H$24,'CF.1'!E135,'CF.2'!$J$5:$J$24)-SUMIF('CF.2'!$K$5:$K$24,'CF.1'!E135,'CF.2'!$M$5:$M$24)</f>
        <v>0</v>
      </c>
      <c r="N135" s="581">
        <f>SUMIF('CF.2'!$H$30:$H$59,'CF.1'!E135,'CF.2'!$J$30:$J$59)+SUMIF('CF.2'!$K$30:$K$59,'CF.1'!E135,'CF.2'!$M$30:$M$59)</f>
        <v>28546061</v>
      </c>
      <c r="O135" s="581">
        <f>SUMIF('CF.2'!$H$64:$H$98,'CF.1'!E135,'CF.2'!$J$64:$J$98)+SUMIF('CF.2'!$K$64:$K$98,'CF.1'!E135,'CF.2'!$M$64:$M$98)</f>
        <v>0</v>
      </c>
      <c r="P135" s="581">
        <f>SUMIF('CF.2'!$H$102:$H$108,'CF.1'!E135,'CF.2'!$J$102:$J$108)+SUMIF('CF.2'!$K$102:$K$108,'CF.1'!E135,'CF.2'!$M$102:$M$108)</f>
        <v>0</v>
      </c>
      <c r="Q135" s="581">
        <f>SUMIF('CF.2'!$H$113:$H$121,'CF.1'!E135,'CF.2'!$J$113:$J$121)+SUMIF('CF.2'!$K$113:$K$121,'CF.1'!E135,'CF.2'!$M$113:$M$121)</f>
        <v>0</v>
      </c>
      <c r="R135" s="582">
        <f t="shared" si="17"/>
        <v>28546061</v>
      </c>
      <c r="T135" s="584">
        <f t="shared" si="18"/>
        <v>3609608055</v>
      </c>
    </row>
    <row r="136" spans="3:20" ht="18" customHeight="1">
      <c r="C136" s="6">
        <v>1</v>
      </c>
      <c r="D136" s="578" t="s">
        <v>926</v>
      </c>
      <c r="E136" s="579" t="s">
        <v>926</v>
      </c>
      <c r="F136" s="580"/>
      <c r="G136" s="579" t="s">
        <v>927</v>
      </c>
      <c r="H136" s="879"/>
      <c r="I136" s="581">
        <v>0</v>
      </c>
      <c r="J136" s="581">
        <v>0</v>
      </c>
      <c r="K136" s="582">
        <f t="shared" si="16"/>
        <v>0</v>
      </c>
      <c r="M136" s="583">
        <f>SUMIF('CF.2'!$H$5:$H$24,'CF.1'!E136,'CF.2'!$J$5:$J$24)-SUMIF('CF.2'!$K$5:$K$24,'CF.1'!E136,'CF.2'!$M$5:$M$24)</f>
        <v>0</v>
      </c>
      <c r="N136" s="581">
        <f>SUMIF('CF.2'!$H$30:$H$59,'CF.1'!E136,'CF.2'!$J$30:$J$59)+SUMIF('CF.2'!$K$30:$K$59,'CF.1'!E136,'CF.2'!$M$30:$M$59)</f>
        <v>0</v>
      </c>
      <c r="O136" s="581">
        <f>SUMIF('CF.2'!$H$64:$H$98,'CF.1'!E136,'CF.2'!$J$64:$J$98)+SUMIF('CF.2'!$K$64:$K$98,'CF.1'!E136,'CF.2'!$M$64:$M$98)</f>
        <v>0</v>
      </c>
      <c r="P136" s="581">
        <f>SUMIF('CF.2'!$H$102:$H$108,'CF.1'!E136,'CF.2'!$J$102:$J$108)+SUMIF('CF.2'!$K$102:$K$108,'CF.1'!E136,'CF.2'!$M$102:$M$108)</f>
        <v>0</v>
      </c>
      <c r="Q136" s="581">
        <f>SUMIF('CF.2'!$H$113:$H$121,'CF.1'!E136,'CF.2'!$J$113:$J$121)+SUMIF('CF.2'!$K$113:$K$121,'CF.1'!E136,'CF.2'!$M$113:$M$121)</f>
        <v>0</v>
      </c>
      <c r="R136" s="582">
        <f t="shared" si="17"/>
        <v>0</v>
      </c>
      <c r="T136" s="584">
        <f t="shared" si="18"/>
        <v>0</v>
      </c>
    </row>
    <row r="137" spans="3:20" ht="18" customHeight="1">
      <c r="C137" s="6">
        <v>1</v>
      </c>
      <c r="D137" s="578" t="s">
        <v>928</v>
      </c>
      <c r="E137" s="579" t="s">
        <v>928</v>
      </c>
      <c r="F137" s="580"/>
      <c r="G137" s="579" t="s">
        <v>929</v>
      </c>
      <c r="H137" s="581">
        <v>0</v>
      </c>
      <c r="I137" s="581">
        <v>0</v>
      </c>
      <c r="J137" s="581">
        <v>0</v>
      </c>
      <c r="K137" s="582">
        <f t="shared" si="16"/>
        <v>0</v>
      </c>
      <c r="M137" s="583">
        <f>SUMIF('CF.2'!$H$5:$H$24,'CF.1'!E137,'CF.2'!$J$5:$J$24)-SUMIF('CF.2'!$K$5:$K$24,'CF.1'!E137,'CF.2'!$M$5:$M$24)</f>
        <v>0</v>
      </c>
      <c r="N137" s="581">
        <f>SUMIF('CF.2'!$H$30:$H$59,'CF.1'!E137,'CF.2'!$J$30:$J$59)+SUMIF('CF.2'!$K$30:$K$59,'CF.1'!E137,'CF.2'!$M$30:$M$59)</f>
        <v>0</v>
      </c>
      <c r="O137" s="581">
        <f>SUMIF('CF.2'!$H$64:$H$98,'CF.1'!E137,'CF.2'!$J$64:$J$98)+SUMIF('CF.2'!$K$64:$K$98,'CF.1'!E137,'CF.2'!$M$64:$M$98)</f>
        <v>0</v>
      </c>
      <c r="P137" s="581">
        <f>SUMIF('CF.2'!$H$102:$H$108,'CF.1'!E137,'CF.2'!$J$102:$J$108)+SUMIF('CF.2'!$K$102:$K$108,'CF.1'!E137,'CF.2'!$M$102:$M$108)</f>
        <v>0</v>
      </c>
      <c r="Q137" s="581">
        <f>SUMIF('CF.2'!$H$113:$H$121,'CF.1'!E137,'CF.2'!$J$113:$J$121)+SUMIF('CF.2'!$K$113:$K$121,'CF.1'!E137,'CF.2'!$M$113:$M$121)</f>
        <v>0</v>
      </c>
      <c r="R137" s="582">
        <f t="shared" si="17"/>
        <v>0</v>
      </c>
      <c r="T137" s="584">
        <f t="shared" si="18"/>
        <v>0</v>
      </c>
    </row>
    <row r="138" spans="3:20" ht="18" customHeight="1">
      <c r="C138" s="6">
        <v>1</v>
      </c>
      <c r="D138" s="578" t="s">
        <v>930</v>
      </c>
      <c r="E138" s="579" t="s">
        <v>930</v>
      </c>
      <c r="F138" s="580"/>
      <c r="G138" s="579" t="s">
        <v>931</v>
      </c>
      <c r="H138" s="581">
        <v>0</v>
      </c>
      <c r="I138" s="581">
        <v>0</v>
      </c>
      <c r="J138" s="581">
        <v>0</v>
      </c>
      <c r="K138" s="582">
        <f t="shared" si="16"/>
        <v>0</v>
      </c>
      <c r="M138" s="583">
        <f>SUMIF('CF.2'!$H$5:$H$24,'CF.1'!E138,'CF.2'!$J$5:$J$24)-SUMIF('CF.2'!$K$5:$K$24,'CF.1'!E138,'CF.2'!$M$5:$M$24)</f>
        <v>0</v>
      </c>
      <c r="N138" s="581">
        <f>SUMIF('CF.2'!$H$30:$H$59,'CF.1'!E138,'CF.2'!$J$30:$J$59)+SUMIF('CF.2'!$K$30:$K$59,'CF.1'!E138,'CF.2'!$M$30:$M$59)</f>
        <v>0</v>
      </c>
      <c r="O138" s="581">
        <f>SUMIF('CF.2'!$H$64:$H$98,'CF.1'!E138,'CF.2'!$J$64:$J$98)+SUMIF('CF.2'!$K$64:$K$98,'CF.1'!E138,'CF.2'!$M$64:$M$98)</f>
        <v>0</v>
      </c>
      <c r="P138" s="581">
        <f>SUMIF('CF.2'!$H$102:$H$108,'CF.1'!E138,'CF.2'!$J$102:$J$108)+SUMIF('CF.2'!$K$102:$K$108,'CF.1'!E138,'CF.2'!$M$102:$M$108)</f>
        <v>0</v>
      </c>
      <c r="Q138" s="581">
        <f>SUMIF('CF.2'!$H$113:$H$121,'CF.1'!E138,'CF.2'!$J$113:$J$121)+SUMIF('CF.2'!$K$113:$K$121,'CF.1'!E138,'CF.2'!$M$113:$M$121)</f>
        <v>0</v>
      </c>
      <c r="R138" s="582">
        <f t="shared" si="17"/>
        <v>0</v>
      </c>
      <c r="T138" s="584">
        <f t="shared" si="18"/>
        <v>0</v>
      </c>
    </row>
    <row r="139" spans="3:20" ht="18" customHeight="1">
      <c r="C139" s="6">
        <v>1</v>
      </c>
      <c r="D139" s="578" t="s">
        <v>932</v>
      </c>
      <c r="E139" s="579" t="s">
        <v>932</v>
      </c>
      <c r="F139" s="580"/>
      <c r="G139" s="579" t="s">
        <v>933</v>
      </c>
      <c r="H139" s="581">
        <v>0</v>
      </c>
      <c r="I139" s="581">
        <v>0</v>
      </c>
      <c r="J139" s="581">
        <v>0</v>
      </c>
      <c r="K139" s="582">
        <f t="shared" si="16"/>
        <v>0</v>
      </c>
      <c r="M139" s="583">
        <f>SUMIF('CF.2'!$H$5:$H$24,'CF.1'!E139,'CF.2'!$J$5:$J$24)-SUMIF('CF.2'!$K$5:$K$24,'CF.1'!E139,'CF.2'!$M$5:$M$24)</f>
        <v>0</v>
      </c>
      <c r="N139" s="581">
        <f>SUMIF('CF.2'!$H$30:$H$59,'CF.1'!E139,'CF.2'!$J$30:$J$59)+SUMIF('CF.2'!$K$30:$K$59,'CF.1'!E139,'CF.2'!$M$30:$M$59)</f>
        <v>0</v>
      </c>
      <c r="O139" s="581">
        <f>SUMIF('CF.2'!$H$64:$H$98,'CF.1'!E139,'CF.2'!$J$64:$J$98)+SUMIF('CF.2'!$K$64:$K$98,'CF.1'!E139,'CF.2'!$M$64:$M$98)</f>
        <v>0</v>
      </c>
      <c r="P139" s="581">
        <f>SUMIF('CF.2'!$H$102:$H$108,'CF.1'!E139,'CF.2'!$J$102:$J$108)+SUMIF('CF.2'!$K$102:$K$108,'CF.1'!E139,'CF.2'!$M$102:$M$108)</f>
        <v>0</v>
      </c>
      <c r="Q139" s="581">
        <f>SUMIF('CF.2'!$H$113:$H$121,'CF.1'!E139,'CF.2'!$J$113:$J$121)+SUMIF('CF.2'!$K$113:$K$121,'CF.1'!E139,'CF.2'!$M$113:$M$121)</f>
        <v>0</v>
      </c>
      <c r="R139" s="582">
        <f t="shared" si="17"/>
        <v>0</v>
      </c>
      <c r="T139" s="584">
        <f t="shared" si="18"/>
        <v>0</v>
      </c>
    </row>
    <row r="140" spans="3:20" ht="18" customHeight="1">
      <c r="C140" s="6">
        <v>1</v>
      </c>
      <c r="D140" s="578" t="s">
        <v>934</v>
      </c>
      <c r="E140" s="579" t="s">
        <v>934</v>
      </c>
      <c r="F140" s="580"/>
      <c r="G140" s="579" t="s">
        <v>935</v>
      </c>
      <c r="H140" s="581">
        <v>0</v>
      </c>
      <c r="I140" s="581">
        <v>0</v>
      </c>
      <c r="J140" s="581">
        <v>0</v>
      </c>
      <c r="K140" s="582">
        <f t="shared" si="16"/>
        <v>0</v>
      </c>
      <c r="M140" s="583">
        <f>SUMIF('CF.2'!$H$5:$H$24,'CF.1'!E140,'CF.2'!$J$5:$J$24)-SUMIF('CF.2'!$K$5:$K$24,'CF.1'!E140,'CF.2'!$M$5:$M$24)</f>
        <v>0</v>
      </c>
      <c r="N140" s="581">
        <f>SUMIF('CF.2'!$H$30:$H$59,'CF.1'!E140,'CF.2'!$J$30:$J$59)+SUMIF('CF.2'!$K$30:$K$59,'CF.1'!E140,'CF.2'!$M$30:$M$59)</f>
        <v>0</v>
      </c>
      <c r="O140" s="581">
        <f>SUMIF('CF.2'!$H$64:$H$98,'CF.1'!E140,'CF.2'!$J$64:$J$98)+SUMIF('CF.2'!$K$64:$K$98,'CF.1'!E140,'CF.2'!$M$64:$M$98)</f>
        <v>0</v>
      </c>
      <c r="P140" s="581">
        <f>SUMIF('CF.2'!$H$102:$H$108,'CF.1'!E140,'CF.2'!$J$102:$J$108)+SUMIF('CF.2'!$K$102:$K$108,'CF.1'!E140,'CF.2'!$M$102:$M$108)</f>
        <v>0</v>
      </c>
      <c r="Q140" s="581">
        <f>SUMIF('CF.2'!$H$113:$H$121,'CF.1'!E140,'CF.2'!$J$113:$J$121)+SUMIF('CF.2'!$K$113:$K$121,'CF.1'!E140,'CF.2'!$M$113:$M$121)</f>
        <v>0</v>
      </c>
      <c r="R140" s="582">
        <f t="shared" si="17"/>
        <v>0</v>
      </c>
      <c r="T140" s="584">
        <f t="shared" si="18"/>
        <v>0</v>
      </c>
    </row>
    <row r="141" spans="3:20" ht="18" customHeight="1">
      <c r="C141" s="6">
        <v>1</v>
      </c>
      <c r="D141" s="578" t="s">
        <v>936</v>
      </c>
      <c r="E141" s="579" t="s">
        <v>936</v>
      </c>
      <c r="F141" s="580" t="s">
        <v>2144</v>
      </c>
      <c r="G141" s="579" t="s">
        <v>937</v>
      </c>
      <c r="H141" s="581">
        <v>0</v>
      </c>
      <c r="I141" s="581">
        <v>0</v>
      </c>
      <c r="J141" s="581">
        <v>0</v>
      </c>
      <c r="K141" s="582">
        <f t="shared" si="16"/>
        <v>0</v>
      </c>
      <c r="M141" s="583">
        <f>SUMIF('CF.2'!$H$5:$H$24,'CF.1'!E141,'CF.2'!$J$5:$J$24)-SUMIF('CF.2'!$K$5:$K$24,'CF.1'!E141,'CF.2'!$M$5:$M$24)</f>
        <v>0</v>
      </c>
      <c r="N141" s="581">
        <f>SUMIF('CF.2'!$H$30:$H$59,'CF.1'!E141,'CF.2'!$J$30:$J$59)+SUMIF('CF.2'!$K$30:$K$59,'CF.1'!E141,'CF.2'!$M$30:$M$59)</f>
        <v>0</v>
      </c>
      <c r="O141" s="581">
        <f>SUMIF('CF.2'!$H$64:$H$98,'CF.1'!E141,'CF.2'!$J$64:$J$98)+SUMIF('CF.2'!$K$64:$K$98,'CF.1'!E141,'CF.2'!$M$64:$M$98)</f>
        <v>0</v>
      </c>
      <c r="P141" s="581">
        <f>SUMIF('CF.2'!$H$102:$H$108,'CF.1'!E141,'CF.2'!$J$102:$J$108)+SUMIF('CF.2'!$K$102:$K$108,'CF.1'!E141,'CF.2'!$M$102:$M$108)</f>
        <v>0</v>
      </c>
      <c r="Q141" s="581">
        <f>SUMIF('CF.2'!$H$113:$H$121,'CF.1'!E141,'CF.2'!$J$113:$J$121)+SUMIF('CF.2'!$K$113:$K$121,'CF.1'!E141,'CF.2'!$M$113:$M$121)</f>
        <v>0</v>
      </c>
      <c r="R141" s="582">
        <f t="shared" si="17"/>
        <v>0</v>
      </c>
      <c r="T141" s="584">
        <f t="shared" si="18"/>
        <v>0</v>
      </c>
    </row>
    <row r="142" spans="3:20" ht="18" customHeight="1">
      <c r="C142" s="6">
        <v>1</v>
      </c>
      <c r="D142" s="578" t="s">
        <v>938</v>
      </c>
      <c r="E142" s="579" t="s">
        <v>938</v>
      </c>
      <c r="F142" s="580"/>
      <c r="G142" s="579" t="s">
        <v>939</v>
      </c>
      <c r="H142" s="581">
        <v>0</v>
      </c>
      <c r="I142" s="581">
        <v>0</v>
      </c>
      <c r="J142" s="581">
        <v>0</v>
      </c>
      <c r="K142" s="582">
        <f t="shared" si="16"/>
        <v>0</v>
      </c>
      <c r="M142" s="583">
        <f>SUMIF('CF.2'!$H$5:$H$24,'CF.1'!E142,'CF.2'!$J$5:$J$24)-SUMIF('CF.2'!$K$5:$K$24,'CF.1'!E142,'CF.2'!$M$5:$M$24)</f>
        <v>0</v>
      </c>
      <c r="N142" s="581">
        <f>SUMIF('CF.2'!$H$30:$H$59,'CF.1'!E142,'CF.2'!$J$30:$J$59)+SUMIF('CF.2'!$K$30:$K$59,'CF.1'!E142,'CF.2'!$M$30:$M$59)</f>
        <v>0</v>
      </c>
      <c r="O142" s="581">
        <f>SUMIF('CF.2'!$H$64:$H$98,'CF.1'!E142,'CF.2'!$J$64:$J$98)+SUMIF('CF.2'!$K$64:$K$98,'CF.1'!E142,'CF.2'!$M$64:$M$98)</f>
        <v>0</v>
      </c>
      <c r="P142" s="581">
        <f>SUMIF('CF.2'!$H$102:$H$108,'CF.1'!E142,'CF.2'!$J$102:$J$108)+SUMIF('CF.2'!$K$102:$K$108,'CF.1'!E142,'CF.2'!$M$102:$M$108)</f>
        <v>0</v>
      </c>
      <c r="Q142" s="581">
        <f>SUMIF('CF.2'!$H$113:$H$121,'CF.1'!E142,'CF.2'!$J$113:$J$121)+SUMIF('CF.2'!$K$113:$K$121,'CF.1'!E142,'CF.2'!$M$113:$M$121)</f>
        <v>0</v>
      </c>
      <c r="R142" s="582">
        <f t="shared" si="17"/>
        <v>0</v>
      </c>
      <c r="T142" s="584">
        <f t="shared" si="18"/>
        <v>0</v>
      </c>
    </row>
    <row r="143" spans="3:20" ht="18" customHeight="1">
      <c r="C143" s="6">
        <v>1</v>
      </c>
      <c r="D143" s="578" t="s">
        <v>940</v>
      </c>
      <c r="E143" s="579" t="s">
        <v>940</v>
      </c>
      <c r="F143" s="580" t="s">
        <v>1780</v>
      </c>
      <c r="G143" s="579" t="s">
        <v>941</v>
      </c>
      <c r="H143" s="581">
        <v>0</v>
      </c>
      <c r="I143" s="581">
        <v>0</v>
      </c>
      <c r="J143" s="581">
        <v>0</v>
      </c>
      <c r="K143" s="582">
        <f t="shared" si="16"/>
        <v>0</v>
      </c>
      <c r="M143" s="583">
        <f>SUMIF('CF.2'!$H$5:$H$24,'CF.1'!E143,'CF.2'!$J$5:$J$24)-SUMIF('CF.2'!$K$5:$K$24,'CF.1'!E143,'CF.2'!$M$5:$M$24)</f>
        <v>0</v>
      </c>
      <c r="N143" s="581">
        <f>SUMIF('CF.2'!$H$30:$H$59,'CF.1'!E143,'CF.2'!$J$30:$J$59)+SUMIF('CF.2'!$K$30:$K$59,'CF.1'!E143,'CF.2'!$M$30:$M$59)</f>
        <v>0</v>
      </c>
      <c r="O143" s="581">
        <f>SUMIF('CF.2'!$H$64:$H$98,'CF.1'!E143,'CF.2'!$J$64:$J$98)+SUMIF('CF.2'!$K$64:$K$98,'CF.1'!E143,'CF.2'!$M$64:$M$98)</f>
        <v>0</v>
      </c>
      <c r="P143" s="581">
        <f>SUMIF('CF.2'!$H$102:$H$108,'CF.1'!E143,'CF.2'!$J$102:$J$108)+SUMIF('CF.2'!$K$102:$K$108,'CF.1'!E143,'CF.2'!$M$102:$M$108)</f>
        <v>0</v>
      </c>
      <c r="Q143" s="581">
        <f>SUMIF('CF.2'!$H$113:$H$121,'CF.1'!E143,'CF.2'!$J$113:$J$121)+SUMIF('CF.2'!$K$113:$K$121,'CF.1'!E143,'CF.2'!$M$113:$M$121)</f>
        <v>0</v>
      </c>
      <c r="R143" s="582">
        <f t="shared" si="17"/>
        <v>0</v>
      </c>
      <c r="T143" s="584">
        <f t="shared" si="18"/>
        <v>0</v>
      </c>
    </row>
    <row r="144" spans="3:20" ht="18" customHeight="1">
      <c r="C144" s="6">
        <v>1</v>
      </c>
      <c r="D144" s="578" t="s">
        <v>942</v>
      </c>
      <c r="E144" s="579" t="s">
        <v>942</v>
      </c>
      <c r="F144" s="580" t="s">
        <v>1471</v>
      </c>
      <c r="G144" s="579" t="s">
        <v>943</v>
      </c>
      <c r="H144" s="879">
        <v>6187452344</v>
      </c>
      <c r="I144" s="585">
        <v>-264703911</v>
      </c>
      <c r="J144" s="581">
        <v>-1040881766</v>
      </c>
      <c r="K144" s="582">
        <f t="shared" si="16"/>
        <v>4881866667</v>
      </c>
      <c r="M144" s="583">
        <f>SUMIF('CF.2'!$H$5:$H$24,'CF.1'!E144,'CF.2'!$J$5:$J$24)-SUMIF('CF.2'!$K$5:$K$24,'CF.1'!E144,'CF.2'!$M$5:$M$24)</f>
        <v>0</v>
      </c>
      <c r="N144" s="581">
        <f>SUMIF('CF.2'!$H$30:$H$59,'CF.1'!E144,'CF.2'!$J$30:$J$59)+SUMIF('CF.2'!$K$30:$K$59,'CF.1'!E144,'CF.2'!$M$30:$M$59)</f>
        <v>0</v>
      </c>
      <c r="O144" s="581">
        <f>SUMIF('CF.2'!$H$64:$H$98,'CF.1'!E144,'CF.2'!$J$64:$J$98)+SUMIF('CF.2'!$K$64:$K$98,'CF.1'!E144,'CF.2'!$M$64:$M$98)</f>
        <v>456188581</v>
      </c>
      <c r="P144" s="581">
        <f>SUMIF('CF.2'!$H$102:$H$108,'CF.1'!E144,'CF.2'!$J$102:$J$108)+SUMIF('CF.2'!$K$102:$K$108,'CF.1'!E144,'CF.2'!$M$102:$M$108)</f>
        <v>0</v>
      </c>
      <c r="Q144" s="581">
        <f>SUMIF('CF.2'!$H$113:$H$121,'CF.1'!E144,'CF.2'!$J$113:$J$121)+SUMIF('CF.2'!$K$113:$K$121,'CF.1'!E144,'CF.2'!$M$113:$M$121)</f>
        <v>0</v>
      </c>
      <c r="R144" s="582">
        <f t="shared" si="17"/>
        <v>456188581</v>
      </c>
      <c r="T144" s="584">
        <f t="shared" si="18"/>
        <v>5338055248</v>
      </c>
    </row>
    <row r="145" spans="3:20" ht="18" customHeight="1">
      <c r="C145" s="6">
        <v>1</v>
      </c>
      <c r="D145" s="578" t="s">
        <v>1000</v>
      </c>
      <c r="E145" s="579" t="s">
        <v>944</v>
      </c>
      <c r="F145" s="580" t="s">
        <v>1473</v>
      </c>
      <c r="G145" s="579" t="s">
        <v>945</v>
      </c>
      <c r="H145" s="879">
        <v>469961893</v>
      </c>
      <c r="I145" s="585">
        <v>-16787280</v>
      </c>
      <c r="J145" s="581">
        <v>1150466</v>
      </c>
      <c r="K145" s="582">
        <f t="shared" si="16"/>
        <v>454325079</v>
      </c>
      <c r="M145" s="583">
        <f>SUMIF('CF.2'!$H$5:$H$24,'CF.1'!E145,'CF.2'!$J$5:$J$24)-SUMIF('CF.2'!$K$5:$K$24,'CF.1'!E145,'CF.2'!$M$5:$M$24)</f>
        <v>0</v>
      </c>
      <c r="N145" s="581">
        <f>SUMIF('CF.2'!$H$30:$H$59,'CF.1'!E145,'CF.2'!$J$30:$J$59)+SUMIF('CF.2'!$K$30:$K$59,'CF.1'!E145,'CF.2'!$M$30:$M$59)</f>
        <v>0</v>
      </c>
      <c r="O145" s="581">
        <f>SUMIF('CF.2'!$H$64:$H$98,'CF.1'!E145,'CF.2'!$J$64:$J$98)+SUMIF('CF.2'!$K$64:$K$98,'CF.1'!E145,'CF.2'!$M$64:$M$98)</f>
        <v>0</v>
      </c>
      <c r="P145" s="581">
        <f>SUMIF('CF.2'!$H$102:$H$108,'CF.1'!E145,'CF.2'!$J$102:$J$108)+SUMIF('CF.2'!$K$102:$K$108,'CF.1'!E145,'CF.2'!$M$102:$M$108)</f>
        <v>0</v>
      </c>
      <c r="Q145" s="581">
        <f>SUMIF('CF.2'!$H$113:$H$121,'CF.1'!E145,'CF.2'!$J$113:$J$121)+SUMIF('CF.2'!$K$113:$K$121,'CF.1'!E145,'CF.2'!$M$113:$M$121)</f>
        <v>0</v>
      </c>
      <c r="R145" s="582">
        <f t="shared" si="17"/>
        <v>0</v>
      </c>
      <c r="T145" s="584">
        <f t="shared" si="18"/>
        <v>454325079</v>
      </c>
    </row>
    <row r="146" spans="3:20" ht="18" customHeight="1">
      <c r="C146" s="6">
        <v>1</v>
      </c>
      <c r="D146" s="578" t="s">
        <v>946</v>
      </c>
      <c r="E146" s="579" t="s">
        <v>946</v>
      </c>
      <c r="F146" s="580" t="s">
        <v>1473</v>
      </c>
      <c r="G146" s="579" t="s">
        <v>947</v>
      </c>
      <c r="H146" s="879">
        <v>-4130426404</v>
      </c>
      <c r="I146" s="585">
        <v>108515072</v>
      </c>
      <c r="J146" s="581">
        <v>-3552778</v>
      </c>
      <c r="K146" s="582">
        <f t="shared" si="16"/>
        <v>-4025464110</v>
      </c>
      <c r="M146" s="583">
        <f>SUMIF('CF.2'!$H$5:$H$24,'CF.1'!E146,'CF.2'!$J$5:$J$24)-SUMIF('CF.2'!$K$5:$K$24,'CF.1'!E146,'CF.2'!$M$5:$M$24)</f>
        <v>0</v>
      </c>
      <c r="N146" s="581">
        <f>SUMIF('CF.2'!$H$30:$H$59,'CF.1'!E146,'CF.2'!$J$30:$J$59)+SUMIF('CF.2'!$K$30:$K$59,'CF.1'!E146,'CF.2'!$M$30:$M$59)</f>
        <v>0</v>
      </c>
      <c r="O146" s="581">
        <f>SUMIF('CF.2'!$H$64:$H$98,'CF.1'!E146,'CF.2'!$J$64:$J$98)+SUMIF('CF.2'!$K$64:$K$98,'CF.1'!E146,'CF.2'!$M$64:$M$98)</f>
        <v>0</v>
      </c>
      <c r="P146" s="581">
        <f>SUMIF('CF.2'!$H$102:$H$108,'CF.1'!E146,'CF.2'!$J$102:$J$108)+SUMIF('CF.2'!$K$102:$K$108,'CF.1'!E146,'CF.2'!$M$102:$M$108)</f>
        <v>0</v>
      </c>
      <c r="Q146" s="581">
        <f>SUMIF('CF.2'!$H$113:$H$121,'CF.1'!E146,'CF.2'!$J$113:$J$121)+SUMIF('CF.2'!$K$113:$K$121,'CF.1'!E146,'CF.2'!$M$113:$M$121)</f>
        <v>0</v>
      </c>
      <c r="R146" s="582">
        <f t="shared" si="17"/>
        <v>0</v>
      </c>
      <c r="T146" s="584">
        <f t="shared" si="18"/>
        <v>-4025464110</v>
      </c>
    </row>
    <row r="147" spans="3:20" ht="18" customHeight="1">
      <c r="C147" s="6">
        <v>1</v>
      </c>
      <c r="D147" s="578" t="s">
        <v>1000</v>
      </c>
      <c r="E147" s="579" t="s">
        <v>948</v>
      </c>
      <c r="F147" s="580" t="s">
        <v>1473</v>
      </c>
      <c r="G147" s="579" t="s">
        <v>949</v>
      </c>
      <c r="H147" s="879">
        <v>1036604770</v>
      </c>
      <c r="I147" s="581">
        <v>0</v>
      </c>
      <c r="J147" s="581">
        <v>0</v>
      </c>
      <c r="K147" s="582">
        <f t="shared" si="16"/>
        <v>1036604770</v>
      </c>
      <c r="M147" s="583">
        <f>SUMIF('CF.2'!$H$5:$H$24,'CF.1'!E147,'CF.2'!$J$5:$J$24)-SUMIF('CF.2'!$K$5:$K$24,'CF.1'!E147,'CF.2'!$M$5:$M$24)</f>
        <v>0</v>
      </c>
      <c r="N147" s="581">
        <f>SUMIF('CF.2'!$H$30:$H$59,'CF.1'!E147,'CF.2'!$J$30:$J$59)+SUMIF('CF.2'!$K$30:$K$59,'CF.1'!E147,'CF.2'!$M$30:$M$59)</f>
        <v>0</v>
      </c>
      <c r="O147" s="581">
        <f>SUMIF('CF.2'!$H$64:$H$98,'CF.1'!E147,'CF.2'!$J$64:$J$98)+SUMIF('CF.2'!$K$64:$K$98,'CF.1'!E147,'CF.2'!$M$64:$M$98)</f>
        <v>0</v>
      </c>
      <c r="P147" s="581">
        <f>SUMIF('CF.2'!$H$102:$H$108,'CF.1'!E147,'CF.2'!$J$102:$J$108)+SUMIF('CF.2'!$K$102:$K$108,'CF.1'!E147,'CF.2'!$M$102:$M$108)</f>
        <v>0</v>
      </c>
      <c r="Q147" s="581">
        <f>SUMIF('CF.2'!$H$113:$H$121,'CF.1'!E147,'CF.2'!$J$113:$J$121)+SUMIF('CF.2'!$K$113:$K$121,'CF.1'!E147,'CF.2'!$M$113:$M$121)</f>
        <v>0</v>
      </c>
      <c r="R147" s="582">
        <f t="shared" si="17"/>
        <v>0</v>
      </c>
      <c r="T147" s="584">
        <f t="shared" si="18"/>
        <v>1036604770</v>
      </c>
    </row>
    <row r="148" spans="3:20" ht="18" customHeight="1">
      <c r="C148" s="6">
        <v>1</v>
      </c>
      <c r="D148" s="578" t="s">
        <v>950</v>
      </c>
      <c r="E148" s="579" t="s">
        <v>950</v>
      </c>
      <c r="F148" s="580" t="s">
        <v>1472</v>
      </c>
      <c r="G148" s="579" t="s">
        <v>951</v>
      </c>
      <c r="H148" s="879">
        <v>20091855010</v>
      </c>
      <c r="I148" s="581">
        <v>389707066</v>
      </c>
      <c r="J148" s="581">
        <v>-537880335</v>
      </c>
      <c r="K148" s="582">
        <f t="shared" si="16"/>
        <v>19943681741</v>
      </c>
      <c r="M148" s="583">
        <f>SUMIF('CF.2'!$H$5:$H$24,'CF.1'!E148,'CF.2'!$J$5:$J$24)-SUMIF('CF.2'!$K$5:$K$24,'CF.1'!E148,'CF.2'!$M$5:$M$24)</f>
        <v>0</v>
      </c>
      <c r="N148" s="581">
        <f>SUMIF('CF.2'!$H$30:$H$59,'CF.1'!E148,'CF.2'!$J$30:$J$59)+SUMIF('CF.2'!$K$30:$K$59,'CF.1'!E148,'CF.2'!$M$30:$M$59)</f>
        <v>0</v>
      </c>
      <c r="O148" s="581">
        <f>SUMIF('CF.2'!$H$64:$H$98,'CF.1'!E148,'CF.2'!$J$64:$J$98)+SUMIF('CF.2'!$K$64:$K$98,'CF.1'!E148,'CF.2'!$M$64:$M$98)</f>
        <v>260564</v>
      </c>
      <c r="P148" s="581">
        <f>SUMIF('CF.2'!$H$102:$H$108,'CF.1'!E148,'CF.2'!$J$102:$J$108)+SUMIF('CF.2'!$K$102:$K$108,'CF.1'!E148,'CF.2'!$M$102:$M$108)</f>
        <v>0</v>
      </c>
      <c r="Q148" s="581">
        <f>SUMIF('CF.2'!$H$113:$H$121,'CF.1'!E148,'CF.2'!$J$113:$J$121)+SUMIF('CF.2'!$K$113:$K$121,'CF.1'!E148,'CF.2'!$M$113:$M$121)</f>
        <v>0</v>
      </c>
      <c r="R148" s="582">
        <f t="shared" si="17"/>
        <v>260564</v>
      </c>
      <c r="T148" s="584">
        <f t="shared" si="18"/>
        <v>19943942305</v>
      </c>
    </row>
    <row r="149" spans="3:20" ht="18" customHeight="1">
      <c r="C149" s="6">
        <v>1</v>
      </c>
      <c r="D149" s="578" t="s">
        <v>952</v>
      </c>
      <c r="E149" s="579" t="s">
        <v>952</v>
      </c>
      <c r="F149" s="580" t="s">
        <v>1472</v>
      </c>
      <c r="G149" s="579" t="s">
        <v>953</v>
      </c>
      <c r="H149" s="879">
        <v>-598224625</v>
      </c>
      <c r="I149" s="581">
        <v>7231518</v>
      </c>
      <c r="J149" s="581">
        <v>1170137</v>
      </c>
      <c r="K149" s="582">
        <f t="shared" si="16"/>
        <v>-589822970</v>
      </c>
      <c r="M149" s="583">
        <f>SUMIF('CF.2'!$H$5:$H$24,'CF.1'!E149,'CF.2'!$J$5:$J$24)-SUMIF('CF.2'!$K$5:$K$24,'CF.1'!E149,'CF.2'!$M$5:$M$24)</f>
        <v>0</v>
      </c>
      <c r="N149" s="581">
        <f>SUMIF('CF.2'!$H$30:$H$59,'CF.1'!E149,'CF.2'!$J$30:$J$59)+SUMIF('CF.2'!$K$30:$K$59,'CF.1'!E149,'CF.2'!$M$30:$M$59)</f>
        <v>0</v>
      </c>
      <c r="O149" s="581">
        <f>SUMIF('CF.2'!$H$64:$H$98,'CF.1'!E149,'CF.2'!$J$64:$J$98)+SUMIF('CF.2'!$K$64:$K$98,'CF.1'!E149,'CF.2'!$M$64:$M$98)</f>
        <v>-8564195</v>
      </c>
      <c r="P149" s="581">
        <f>SUMIF('CF.2'!$H$102:$H$108,'CF.1'!E149,'CF.2'!$J$102:$J$108)+SUMIF('CF.2'!$K$102:$K$108,'CF.1'!E149,'CF.2'!$M$102:$M$108)</f>
        <v>0</v>
      </c>
      <c r="Q149" s="581">
        <f>SUMIF('CF.2'!$H$113:$H$121,'CF.1'!E149,'CF.2'!$J$113:$J$121)+SUMIF('CF.2'!$K$113:$K$121,'CF.1'!E149,'CF.2'!$M$113:$M$121)</f>
        <v>0</v>
      </c>
      <c r="R149" s="582">
        <f t="shared" si="17"/>
        <v>-8564195</v>
      </c>
      <c r="T149" s="584">
        <f t="shared" si="18"/>
        <v>-598387165</v>
      </c>
    </row>
    <row r="150" spans="3:20" ht="18" customHeight="1">
      <c r="C150" s="6">
        <v>1</v>
      </c>
      <c r="D150" s="578" t="s">
        <v>954</v>
      </c>
      <c r="E150" s="579" t="s">
        <v>954</v>
      </c>
      <c r="F150" s="580" t="s">
        <v>1473</v>
      </c>
      <c r="G150" s="579" t="s">
        <v>955</v>
      </c>
      <c r="H150" s="879">
        <v>1119097480</v>
      </c>
      <c r="I150" s="581">
        <v>0</v>
      </c>
      <c r="J150" s="581">
        <v>-11465101</v>
      </c>
      <c r="K150" s="582">
        <f t="shared" si="16"/>
        <v>1107632379</v>
      </c>
      <c r="M150" s="583">
        <f>SUMIF('CF.2'!$H$5:$H$24,'CF.1'!E150,'CF.2'!$J$5:$J$24)-SUMIF('CF.2'!$K$5:$K$24,'CF.1'!E150,'CF.2'!$M$5:$M$24)</f>
        <v>0</v>
      </c>
      <c r="N150" s="581">
        <f>SUMIF('CF.2'!$H$30:$H$59,'CF.1'!E150,'CF.2'!$J$30:$J$59)+SUMIF('CF.2'!$K$30:$K$59,'CF.1'!E150,'CF.2'!$M$30:$M$59)</f>
        <v>0</v>
      </c>
      <c r="O150" s="581">
        <f>SUMIF('CF.2'!$H$64:$H$98,'CF.1'!E150,'CF.2'!$J$64:$J$98)+SUMIF('CF.2'!$K$64:$K$98,'CF.1'!E150,'CF.2'!$M$64:$M$98)</f>
        <v>0</v>
      </c>
      <c r="P150" s="581">
        <f>SUMIF('CF.2'!$H$102:$H$108,'CF.1'!E150,'CF.2'!$J$102:$J$108)+SUMIF('CF.2'!$K$102:$K$108,'CF.1'!E150,'CF.2'!$M$102:$M$108)</f>
        <v>0</v>
      </c>
      <c r="Q150" s="581">
        <f>SUMIF('CF.2'!$H$113:$H$121,'CF.1'!E150,'CF.2'!$J$113:$J$121)+SUMIF('CF.2'!$K$113:$K$121,'CF.1'!E150,'CF.2'!$M$113:$M$121)</f>
        <v>0</v>
      </c>
      <c r="R150" s="582">
        <f t="shared" si="17"/>
        <v>0</v>
      </c>
      <c r="T150" s="584">
        <f t="shared" si="18"/>
        <v>1107632379</v>
      </c>
    </row>
    <row r="151" spans="3:20" ht="18" customHeight="1">
      <c r="C151" s="6">
        <v>1</v>
      </c>
      <c r="D151" s="578" t="s">
        <v>956</v>
      </c>
      <c r="E151" s="579" t="s">
        <v>956</v>
      </c>
      <c r="F151" s="580"/>
      <c r="G151" s="579" t="s">
        <v>957</v>
      </c>
      <c r="H151" s="581">
        <v>0</v>
      </c>
      <c r="I151" s="581">
        <v>0</v>
      </c>
      <c r="J151" s="581">
        <v>0</v>
      </c>
      <c r="K151" s="582">
        <f t="shared" si="16"/>
        <v>0</v>
      </c>
      <c r="M151" s="583">
        <f>SUMIF('CF.2'!$H$5:$H$24,'CF.1'!E151,'CF.2'!$J$5:$J$24)-SUMIF('CF.2'!$K$5:$K$24,'CF.1'!E151,'CF.2'!$M$5:$M$24)</f>
        <v>0</v>
      </c>
      <c r="N151" s="581">
        <f>SUMIF('CF.2'!$H$30:$H$59,'CF.1'!E151,'CF.2'!$J$30:$J$59)+SUMIF('CF.2'!$K$30:$K$59,'CF.1'!E151,'CF.2'!$M$30:$M$59)</f>
        <v>0</v>
      </c>
      <c r="O151" s="581">
        <f>SUMIF('CF.2'!$H$64:$H$98,'CF.1'!E151,'CF.2'!$J$64:$J$98)+SUMIF('CF.2'!$K$64:$K$98,'CF.1'!E151,'CF.2'!$M$64:$M$98)</f>
        <v>0</v>
      </c>
      <c r="P151" s="581">
        <f>SUMIF('CF.2'!$H$102:$H$108,'CF.1'!E151,'CF.2'!$J$102:$J$108)+SUMIF('CF.2'!$K$102:$K$108,'CF.1'!E151,'CF.2'!$M$102:$M$108)</f>
        <v>0</v>
      </c>
      <c r="Q151" s="581">
        <f>SUMIF('CF.2'!$H$113:$H$121,'CF.1'!E151,'CF.2'!$J$113:$J$121)+SUMIF('CF.2'!$K$113:$K$121,'CF.1'!E151,'CF.2'!$M$113:$M$121)</f>
        <v>0</v>
      </c>
      <c r="R151" s="582">
        <f t="shared" si="17"/>
        <v>0</v>
      </c>
      <c r="T151" s="584">
        <f t="shared" si="18"/>
        <v>0</v>
      </c>
    </row>
    <row r="152" spans="3:20" ht="18" customHeight="1">
      <c r="C152" s="6">
        <v>1</v>
      </c>
      <c r="D152" s="578" t="s">
        <v>958</v>
      </c>
      <c r="E152" s="579" t="s">
        <v>958</v>
      </c>
      <c r="F152" s="580"/>
      <c r="G152" s="579" t="s">
        <v>959</v>
      </c>
      <c r="H152" s="581">
        <v>0</v>
      </c>
      <c r="I152" s="581">
        <v>0</v>
      </c>
      <c r="J152" s="581">
        <v>0</v>
      </c>
      <c r="K152" s="582">
        <f t="shared" si="16"/>
        <v>0</v>
      </c>
      <c r="M152" s="583">
        <f>SUMIF('CF.2'!$H$5:$H$24,'CF.1'!E152,'CF.2'!$J$5:$J$24)-SUMIF('CF.2'!$K$5:$K$24,'CF.1'!E152,'CF.2'!$M$5:$M$24)</f>
        <v>0</v>
      </c>
      <c r="N152" s="581">
        <f>SUMIF('CF.2'!$H$30:$H$59,'CF.1'!E152,'CF.2'!$J$30:$J$59)+SUMIF('CF.2'!$K$30:$K$59,'CF.1'!E152,'CF.2'!$M$30:$M$59)</f>
        <v>0</v>
      </c>
      <c r="O152" s="581">
        <f>SUMIF('CF.2'!$H$64:$H$98,'CF.1'!E152,'CF.2'!$J$64:$J$98)+SUMIF('CF.2'!$K$64:$K$98,'CF.1'!E152,'CF.2'!$M$64:$M$98)</f>
        <v>0</v>
      </c>
      <c r="P152" s="581">
        <f>SUMIF('CF.2'!$H$102:$H$108,'CF.1'!E152,'CF.2'!$J$102:$J$108)+SUMIF('CF.2'!$K$102:$K$108,'CF.1'!E152,'CF.2'!$M$102:$M$108)</f>
        <v>0</v>
      </c>
      <c r="Q152" s="581">
        <f>SUMIF('CF.2'!$H$113:$H$121,'CF.1'!E152,'CF.2'!$J$113:$J$121)+SUMIF('CF.2'!$K$113:$K$121,'CF.1'!E152,'CF.2'!$M$113:$M$121)</f>
        <v>0</v>
      </c>
      <c r="R152" s="582">
        <f t="shared" si="17"/>
        <v>0</v>
      </c>
      <c r="T152" s="584">
        <f t="shared" si="18"/>
        <v>0</v>
      </c>
    </row>
    <row r="153" spans="3:20" ht="18" customHeight="1">
      <c r="C153" s="6">
        <v>1</v>
      </c>
      <c r="D153" s="578" t="s">
        <v>960</v>
      </c>
      <c r="E153" s="579" t="s">
        <v>960</v>
      </c>
      <c r="F153" s="580" t="s">
        <v>1473</v>
      </c>
      <c r="G153" s="579" t="s">
        <v>961</v>
      </c>
      <c r="H153" s="581">
        <v>0</v>
      </c>
      <c r="I153" s="581">
        <v>0</v>
      </c>
      <c r="J153" s="581">
        <v>0</v>
      </c>
      <c r="K153" s="582">
        <f t="shared" si="16"/>
        <v>0</v>
      </c>
      <c r="M153" s="583">
        <f>SUMIF('CF.2'!$H$5:$H$24,'CF.1'!E153,'CF.2'!$J$5:$J$24)-SUMIF('CF.2'!$K$5:$K$24,'CF.1'!E153,'CF.2'!$M$5:$M$24)</f>
        <v>0</v>
      </c>
      <c r="N153" s="581">
        <f>SUMIF('CF.2'!$H$30:$H$59,'CF.1'!E153,'CF.2'!$J$30:$J$59)+SUMIF('CF.2'!$K$30:$K$59,'CF.1'!E153,'CF.2'!$M$30:$M$59)</f>
        <v>0</v>
      </c>
      <c r="O153" s="581">
        <f>SUMIF('CF.2'!$H$64:$H$98,'CF.1'!E153,'CF.2'!$J$64:$J$98)+SUMIF('CF.2'!$K$64:$K$98,'CF.1'!E153,'CF.2'!$M$64:$M$98)</f>
        <v>0</v>
      </c>
      <c r="P153" s="581">
        <f>SUMIF('CF.2'!$H$102:$H$108,'CF.1'!E153,'CF.2'!$J$102:$J$108)+SUMIF('CF.2'!$K$102:$K$108,'CF.1'!E153,'CF.2'!$M$102:$M$108)</f>
        <v>0</v>
      </c>
      <c r="Q153" s="581">
        <f>SUMIF('CF.2'!$H$113:$H$121,'CF.1'!E153,'CF.2'!$J$113:$J$121)+SUMIF('CF.2'!$K$113:$K$121,'CF.1'!E153,'CF.2'!$M$113:$M$121)</f>
        <v>0</v>
      </c>
      <c r="R153" s="582">
        <f t="shared" si="17"/>
        <v>0</v>
      </c>
      <c r="T153" s="584">
        <f t="shared" si="18"/>
        <v>0</v>
      </c>
    </row>
    <row r="154" spans="3:20" ht="18" customHeight="1">
      <c r="C154" s="6">
        <v>1</v>
      </c>
      <c r="D154" s="578" t="s">
        <v>962</v>
      </c>
      <c r="E154" s="579" t="s">
        <v>962</v>
      </c>
      <c r="F154" s="580" t="s">
        <v>1475</v>
      </c>
      <c r="G154" s="579" t="s">
        <v>963</v>
      </c>
      <c r="H154" s="581"/>
      <c r="I154" s="581">
        <v>0</v>
      </c>
      <c r="J154" s="581">
        <v>0</v>
      </c>
      <c r="K154" s="582">
        <f t="shared" si="16"/>
        <v>0</v>
      </c>
      <c r="M154" s="583">
        <f>SUMIF('CF.2'!$H$5:$H$24,'CF.1'!E154,'CF.2'!$J$5:$J$24)-SUMIF('CF.2'!$K$5:$K$24,'CF.1'!E154,'CF.2'!$M$5:$M$24)</f>
        <v>0</v>
      </c>
      <c r="N154" s="581">
        <f>SUMIF('CF.2'!$H$30:$H$59,'CF.1'!E154,'CF.2'!$J$30:$J$59)+SUMIF('CF.2'!$K$30:$K$59,'CF.1'!E154,'CF.2'!$M$30:$M$59)</f>
        <v>0</v>
      </c>
      <c r="O154" s="581">
        <f>SUMIF('CF.2'!$H$64:$H$98,'CF.1'!E154,'CF.2'!$J$64:$J$98)+SUMIF('CF.2'!$K$64:$K$98,'CF.1'!E154,'CF.2'!$M$64:$M$98)</f>
        <v>0</v>
      </c>
      <c r="P154" s="581">
        <f>SUMIF('CF.2'!$H$102:$H$108,'CF.1'!E154,'CF.2'!$J$102:$J$108)+SUMIF('CF.2'!$K$102:$K$108,'CF.1'!E154,'CF.2'!$M$102:$M$108)</f>
        <v>0</v>
      </c>
      <c r="Q154" s="581">
        <f>SUMIF('CF.2'!$H$113:$H$121,'CF.1'!E154,'CF.2'!$J$113:$J$121)+SUMIF('CF.2'!$K$113:$K$121,'CF.1'!E154,'CF.2'!$M$113:$M$121)</f>
        <v>0</v>
      </c>
      <c r="R154" s="582">
        <f t="shared" si="17"/>
        <v>0</v>
      </c>
      <c r="T154" s="584">
        <f t="shared" si="18"/>
        <v>0</v>
      </c>
    </row>
    <row r="155" spans="3:20" ht="18" customHeight="1">
      <c r="C155" s="6">
        <v>1</v>
      </c>
      <c r="D155" s="578" t="s">
        <v>964</v>
      </c>
      <c r="E155" s="579" t="s">
        <v>964</v>
      </c>
      <c r="F155" s="580"/>
      <c r="G155" s="579" t="s">
        <v>965</v>
      </c>
      <c r="H155" s="581">
        <v>0</v>
      </c>
      <c r="I155" s="581">
        <v>0</v>
      </c>
      <c r="J155" s="581">
        <v>0</v>
      </c>
      <c r="K155" s="582">
        <f t="shared" si="16"/>
        <v>0</v>
      </c>
      <c r="M155" s="583">
        <f>SUMIF('CF.2'!$H$5:$H$24,'CF.1'!E155,'CF.2'!$J$5:$J$24)-SUMIF('CF.2'!$K$5:$K$24,'CF.1'!E155,'CF.2'!$M$5:$M$24)</f>
        <v>0</v>
      </c>
      <c r="N155" s="581">
        <f>SUMIF('CF.2'!$H$30:$H$59,'CF.1'!E155,'CF.2'!$J$30:$J$59)+SUMIF('CF.2'!$K$30:$K$59,'CF.1'!E155,'CF.2'!$M$30:$M$59)</f>
        <v>0</v>
      </c>
      <c r="O155" s="581">
        <f>SUMIF('CF.2'!$H$64:$H$98,'CF.1'!E155,'CF.2'!$J$64:$J$98)+SUMIF('CF.2'!$K$64:$K$98,'CF.1'!E155,'CF.2'!$M$64:$M$98)</f>
        <v>0</v>
      </c>
      <c r="P155" s="581">
        <f>SUMIF('CF.2'!$H$102:$H$108,'CF.1'!E155,'CF.2'!$J$102:$J$108)+SUMIF('CF.2'!$K$102:$K$108,'CF.1'!E155,'CF.2'!$M$102:$M$108)</f>
        <v>0</v>
      </c>
      <c r="Q155" s="581">
        <f>SUMIF('CF.2'!$H$113:$H$121,'CF.1'!E155,'CF.2'!$J$113:$J$121)+SUMIF('CF.2'!$K$113:$K$121,'CF.1'!E155,'CF.2'!$M$113:$M$121)</f>
        <v>0</v>
      </c>
      <c r="R155" s="582">
        <f t="shared" si="17"/>
        <v>0</v>
      </c>
      <c r="T155" s="584">
        <f t="shared" si="18"/>
        <v>0</v>
      </c>
    </row>
    <row r="156" spans="3:20" ht="18" customHeight="1">
      <c r="C156" s="6">
        <v>1</v>
      </c>
      <c r="D156" s="578" t="s">
        <v>966</v>
      </c>
      <c r="E156" s="579" t="s">
        <v>966</v>
      </c>
      <c r="F156" s="580" t="s">
        <v>1475</v>
      </c>
      <c r="G156" s="579" t="s">
        <v>967</v>
      </c>
      <c r="H156" s="581">
        <v>-1530881163</v>
      </c>
      <c r="I156" s="581">
        <v>0</v>
      </c>
      <c r="J156" s="581">
        <v>0</v>
      </c>
      <c r="K156" s="582">
        <f t="shared" si="16"/>
        <v>-1530881163</v>
      </c>
      <c r="M156" s="583">
        <f>SUMIF('CF.2'!$H$5:$H$24,'CF.1'!E156,'CF.2'!$J$5:$J$24)-SUMIF('CF.2'!$K$5:$K$24,'CF.1'!E156,'CF.2'!$M$5:$M$24)</f>
        <v>0</v>
      </c>
      <c r="N156" s="581">
        <f>SUMIF('CF.2'!$H$30:$H$59,'CF.1'!E156,'CF.2'!$J$30:$J$59)+SUMIF('CF.2'!$K$30:$K$59,'CF.1'!E156,'CF.2'!$M$30:$M$59)</f>
        <v>0</v>
      </c>
      <c r="O156" s="581">
        <f>SUMIF('CF.2'!$H$64:$H$98,'CF.1'!E156,'CF.2'!$J$64:$J$98)+SUMIF('CF.2'!$K$64:$K$98,'CF.1'!E156,'CF.2'!$M$64:$M$98)</f>
        <v>0</v>
      </c>
      <c r="P156" s="581">
        <f>SUMIF('CF.2'!$H$102:$H$108,'CF.1'!E156,'CF.2'!$J$102:$J$108)+SUMIF('CF.2'!$K$102:$K$108,'CF.1'!E156,'CF.2'!$M$102:$M$108)</f>
        <v>0</v>
      </c>
      <c r="Q156" s="581">
        <f>SUMIF('CF.2'!$H$113:$H$121,'CF.1'!E156,'CF.2'!$J$113:$J$121)+SUMIF('CF.2'!$K$113:$K$121,'CF.1'!E156,'CF.2'!$M$113:$M$121)</f>
        <v>0</v>
      </c>
      <c r="R156" s="582">
        <f t="shared" si="17"/>
        <v>0</v>
      </c>
      <c r="T156" s="584">
        <f t="shared" si="18"/>
        <v>-1530881163</v>
      </c>
    </row>
    <row r="157" spans="3:20" ht="18" customHeight="1">
      <c r="C157" s="6">
        <v>1</v>
      </c>
      <c r="D157" s="578" t="s">
        <v>968</v>
      </c>
      <c r="E157" s="579" t="s">
        <v>968</v>
      </c>
      <c r="F157" s="580"/>
      <c r="G157" s="579" t="s">
        <v>969</v>
      </c>
      <c r="H157" s="581">
        <v>0</v>
      </c>
      <c r="I157" s="581">
        <v>0</v>
      </c>
      <c r="J157" s="581">
        <v>0</v>
      </c>
      <c r="K157" s="582">
        <f t="shared" si="16"/>
        <v>0</v>
      </c>
      <c r="M157" s="583">
        <f>SUMIF('CF.2'!$H$5:$H$24,'CF.1'!E157,'CF.2'!$J$5:$J$24)-SUMIF('CF.2'!$K$5:$K$24,'CF.1'!E157,'CF.2'!$M$5:$M$24)</f>
        <v>0</v>
      </c>
      <c r="N157" s="581">
        <f>SUMIF('CF.2'!$H$30:$H$59,'CF.1'!E157,'CF.2'!$J$30:$J$59)+SUMIF('CF.2'!$K$30:$K$59,'CF.1'!E157,'CF.2'!$M$30:$M$59)</f>
        <v>0</v>
      </c>
      <c r="O157" s="581">
        <f>SUMIF('CF.2'!$H$64:$H$98,'CF.1'!E157,'CF.2'!$J$64:$J$98)+SUMIF('CF.2'!$K$64:$K$98,'CF.1'!E157,'CF.2'!$M$64:$M$98)</f>
        <v>0</v>
      </c>
      <c r="P157" s="581">
        <f>SUMIF('CF.2'!$H$102:$H$108,'CF.1'!E157,'CF.2'!$J$102:$J$108)+SUMIF('CF.2'!$K$102:$K$108,'CF.1'!E157,'CF.2'!$M$102:$M$108)</f>
        <v>0</v>
      </c>
      <c r="Q157" s="581">
        <f>SUMIF('CF.2'!$H$113:$H$121,'CF.1'!E157,'CF.2'!$J$113:$J$121)+SUMIF('CF.2'!$K$113:$K$121,'CF.1'!E157,'CF.2'!$M$113:$M$121)</f>
        <v>0</v>
      </c>
      <c r="R157" s="582">
        <f t="shared" si="17"/>
        <v>0</v>
      </c>
      <c r="T157" s="584">
        <f t="shared" si="18"/>
        <v>0</v>
      </c>
    </row>
    <row r="158" spans="3:20" ht="18" customHeight="1">
      <c r="C158" s="6">
        <v>1</v>
      </c>
      <c r="D158" s="578" t="s">
        <v>970</v>
      </c>
      <c r="E158" s="579" t="s">
        <v>970</v>
      </c>
      <c r="F158" s="580"/>
      <c r="G158" s="579" t="s">
        <v>971</v>
      </c>
      <c r="H158" s="581">
        <v>0</v>
      </c>
      <c r="I158" s="581">
        <v>0</v>
      </c>
      <c r="J158" s="581">
        <v>0</v>
      </c>
      <c r="K158" s="582">
        <f t="shared" ref="K158:K174" si="19">SUM(H158:J158)</f>
        <v>0</v>
      </c>
      <c r="M158" s="583">
        <f>SUMIF('CF.2'!$H$5:$H$24,'CF.1'!E158,'CF.2'!$J$5:$J$24)-SUMIF('CF.2'!$K$5:$K$24,'CF.1'!E158,'CF.2'!$M$5:$M$24)</f>
        <v>0</v>
      </c>
      <c r="N158" s="581">
        <f>SUMIF('CF.2'!$H$30:$H$59,'CF.1'!E158,'CF.2'!$J$30:$J$59)+SUMIF('CF.2'!$K$30:$K$59,'CF.1'!E158,'CF.2'!$M$30:$M$59)</f>
        <v>0</v>
      </c>
      <c r="O158" s="581">
        <f>SUMIF('CF.2'!$H$64:$H$98,'CF.1'!E158,'CF.2'!$J$64:$J$98)+SUMIF('CF.2'!$K$64:$K$98,'CF.1'!E158,'CF.2'!$M$64:$M$98)</f>
        <v>0</v>
      </c>
      <c r="P158" s="581">
        <f>SUMIF('CF.2'!$H$102:$H$108,'CF.1'!E158,'CF.2'!$J$102:$J$108)+SUMIF('CF.2'!$K$102:$K$108,'CF.1'!E158,'CF.2'!$M$102:$M$108)</f>
        <v>0</v>
      </c>
      <c r="Q158" s="581">
        <f>SUMIF('CF.2'!$H$113:$H$121,'CF.1'!E158,'CF.2'!$J$113:$J$121)+SUMIF('CF.2'!$K$113:$K$121,'CF.1'!E158,'CF.2'!$M$113:$M$121)</f>
        <v>0</v>
      </c>
      <c r="R158" s="582">
        <f t="shared" si="17"/>
        <v>0</v>
      </c>
      <c r="T158" s="584">
        <f t="shared" ref="T158:T174" si="20">ROUND(R158+K158,0)</f>
        <v>0</v>
      </c>
    </row>
    <row r="159" spans="3:20" ht="18" customHeight="1">
      <c r="C159" s="6">
        <v>1</v>
      </c>
      <c r="D159" s="578" t="s">
        <v>972</v>
      </c>
      <c r="E159" s="579" t="s">
        <v>972</v>
      </c>
      <c r="F159" s="580" t="s">
        <v>1472</v>
      </c>
      <c r="G159" s="579" t="s">
        <v>973</v>
      </c>
      <c r="H159" s="581">
        <v>211309200</v>
      </c>
      <c r="I159" s="581">
        <v>0</v>
      </c>
      <c r="J159" s="581">
        <v>0</v>
      </c>
      <c r="K159" s="582">
        <f t="shared" si="19"/>
        <v>211309200</v>
      </c>
      <c r="M159" s="583">
        <f>SUMIF('CF.2'!$H$5:$H$24,'CF.1'!E159,'CF.2'!$J$5:$J$24)-SUMIF('CF.2'!$K$5:$K$24,'CF.1'!E159,'CF.2'!$M$5:$M$24)</f>
        <v>0</v>
      </c>
      <c r="N159" s="581">
        <f>SUMIF('CF.2'!$H$30:$H$59,'CF.1'!E159,'CF.2'!$J$30:$J$59)+SUMIF('CF.2'!$K$30:$K$59,'CF.1'!E159,'CF.2'!$M$30:$M$59)</f>
        <v>0</v>
      </c>
      <c r="O159" s="581">
        <f>SUMIF('CF.2'!$H$64:$H$98,'CF.1'!E159,'CF.2'!$J$64:$J$98)+SUMIF('CF.2'!$K$64:$K$98,'CF.1'!E159,'CF.2'!$M$64:$M$98)</f>
        <v>0</v>
      </c>
      <c r="P159" s="581">
        <f>SUMIF('CF.2'!$H$102:$H$108,'CF.1'!E159,'CF.2'!$J$102:$J$108)+SUMIF('CF.2'!$K$102:$K$108,'CF.1'!E159,'CF.2'!$M$102:$M$108)</f>
        <v>0</v>
      </c>
      <c r="Q159" s="581">
        <f>SUMIF('CF.2'!$H$113:$H$121,'CF.1'!E159,'CF.2'!$J$113:$J$121)+SUMIF('CF.2'!$K$113:$K$121,'CF.1'!E159,'CF.2'!$M$113:$M$121)</f>
        <v>0</v>
      </c>
      <c r="R159" s="582">
        <f t="shared" si="17"/>
        <v>0</v>
      </c>
      <c r="T159" s="584">
        <f t="shared" si="20"/>
        <v>211309200</v>
      </c>
    </row>
    <row r="160" spans="3:20" ht="18" customHeight="1">
      <c r="C160" s="6">
        <v>1</v>
      </c>
      <c r="D160" s="578" t="s">
        <v>974</v>
      </c>
      <c r="E160" s="579" t="s">
        <v>974</v>
      </c>
      <c r="F160" s="580" t="s">
        <v>2140</v>
      </c>
      <c r="G160" s="579" t="s">
        <v>975</v>
      </c>
      <c r="H160" s="581">
        <v>-15000000</v>
      </c>
      <c r="I160" s="581">
        <v>0</v>
      </c>
      <c r="J160" s="581">
        <v>0</v>
      </c>
      <c r="K160" s="582">
        <f t="shared" si="19"/>
        <v>-15000000</v>
      </c>
      <c r="M160" s="583">
        <f>SUMIF('CF.2'!$H$5:$H$24,'CF.1'!E160,'CF.2'!$J$5:$J$24)-SUMIF('CF.2'!$K$5:$K$24,'CF.1'!E160,'CF.2'!$M$5:$M$24)</f>
        <v>0</v>
      </c>
      <c r="N160" s="581">
        <f>SUMIF('CF.2'!$H$30:$H$59,'CF.1'!E160,'CF.2'!$J$30:$J$59)+SUMIF('CF.2'!$K$30:$K$59,'CF.1'!E160,'CF.2'!$M$30:$M$59)</f>
        <v>0</v>
      </c>
      <c r="O160" s="581">
        <f>SUMIF('CF.2'!$H$64:$H$98,'CF.1'!E160,'CF.2'!$J$64:$J$98)+SUMIF('CF.2'!$K$64:$K$98,'CF.1'!E160,'CF.2'!$M$64:$M$98)</f>
        <v>0</v>
      </c>
      <c r="P160" s="581">
        <f>SUMIF('CF.2'!$H$102:$H$108,'CF.1'!E160,'CF.2'!$J$102:$J$108)+SUMIF('CF.2'!$K$102:$K$108,'CF.1'!E160,'CF.2'!$M$102:$M$108)</f>
        <v>0</v>
      </c>
      <c r="Q160" s="581">
        <f>SUMIF('CF.2'!$H$113:$H$121,'CF.1'!E160,'CF.2'!$J$113:$J$121)+SUMIF('CF.2'!$K$113:$K$121,'CF.1'!E160,'CF.2'!$M$113:$M$121)</f>
        <v>0</v>
      </c>
      <c r="R160" s="582">
        <f t="shared" si="17"/>
        <v>0</v>
      </c>
      <c r="T160" s="584">
        <f t="shared" si="20"/>
        <v>-15000000</v>
      </c>
    </row>
    <row r="161" spans="3:20" ht="18" customHeight="1">
      <c r="C161" s="6">
        <v>1</v>
      </c>
      <c r="D161" s="578" t="s">
        <v>976</v>
      </c>
      <c r="E161" s="579" t="s">
        <v>976</v>
      </c>
      <c r="F161" s="580"/>
      <c r="G161" s="579" t="s">
        <v>977</v>
      </c>
      <c r="H161" s="581">
        <v>0</v>
      </c>
      <c r="I161" s="581">
        <v>0</v>
      </c>
      <c r="J161" s="581">
        <v>0</v>
      </c>
      <c r="K161" s="582">
        <f t="shared" si="19"/>
        <v>0</v>
      </c>
      <c r="M161" s="583">
        <f>SUMIF('CF.2'!$H$5:$H$24,'CF.1'!E161,'CF.2'!$J$5:$J$24)-SUMIF('CF.2'!$K$5:$K$24,'CF.1'!E161,'CF.2'!$M$5:$M$24)</f>
        <v>0</v>
      </c>
      <c r="N161" s="581">
        <f>SUMIF('CF.2'!$H$30:$H$59,'CF.1'!E161,'CF.2'!$J$30:$J$59)+SUMIF('CF.2'!$K$30:$K$59,'CF.1'!E161,'CF.2'!$M$30:$M$59)</f>
        <v>0</v>
      </c>
      <c r="O161" s="581">
        <f>SUMIF('CF.2'!$H$64:$H$98,'CF.1'!E161,'CF.2'!$J$64:$J$98)+SUMIF('CF.2'!$K$64:$K$98,'CF.1'!E161,'CF.2'!$M$64:$M$98)</f>
        <v>0</v>
      </c>
      <c r="P161" s="581">
        <f>SUMIF('CF.2'!$H$102:$H$108,'CF.1'!E161,'CF.2'!$J$102:$J$108)+SUMIF('CF.2'!$K$102:$K$108,'CF.1'!E161,'CF.2'!$M$102:$M$108)</f>
        <v>0</v>
      </c>
      <c r="Q161" s="581">
        <f>SUMIF('CF.2'!$H$113:$H$121,'CF.1'!E161,'CF.2'!$J$113:$J$121)+SUMIF('CF.2'!$K$113:$K$121,'CF.1'!E161,'CF.2'!$M$113:$M$121)</f>
        <v>0</v>
      </c>
      <c r="R161" s="582">
        <f t="shared" si="17"/>
        <v>0</v>
      </c>
      <c r="T161" s="584">
        <f t="shared" si="20"/>
        <v>0</v>
      </c>
    </row>
    <row r="162" spans="3:20" ht="18" customHeight="1">
      <c r="C162" s="6">
        <v>1</v>
      </c>
      <c r="D162" s="578" t="s">
        <v>978</v>
      </c>
      <c r="E162" s="579" t="s">
        <v>978</v>
      </c>
      <c r="F162" s="580" t="s">
        <v>1475</v>
      </c>
      <c r="G162" s="579" t="s">
        <v>979</v>
      </c>
      <c r="H162" s="581">
        <v>-573889893</v>
      </c>
      <c r="I162" s="581">
        <v>0</v>
      </c>
      <c r="J162" s="581">
        <v>-7218207</v>
      </c>
      <c r="K162" s="582">
        <f t="shared" si="19"/>
        <v>-581108100</v>
      </c>
      <c r="M162" s="583">
        <f>SUMIF('CF.2'!$H$5:$H$24,'CF.1'!E162,'CF.2'!$J$5:$J$24)-SUMIF('CF.2'!$K$5:$K$24,'CF.1'!E162,'CF.2'!$M$5:$M$24)</f>
        <v>0</v>
      </c>
      <c r="N162" s="581">
        <f>SUMIF('CF.2'!$H$30:$H$59,'CF.1'!E162,'CF.2'!$J$30:$J$59)+SUMIF('CF.2'!$K$30:$K$59,'CF.1'!E162,'CF.2'!$M$30:$M$59)</f>
        <v>0</v>
      </c>
      <c r="O162" s="581">
        <f>SUMIF('CF.2'!$H$64:$H$98,'CF.1'!E162,'CF.2'!$J$64:$J$98)+SUMIF('CF.2'!$K$64:$K$98,'CF.1'!E162,'CF.2'!$M$64:$M$98)</f>
        <v>0</v>
      </c>
      <c r="P162" s="581">
        <f>SUMIF('CF.2'!$H$102:$H$108,'CF.1'!E162,'CF.2'!$J$102:$J$108)+SUMIF('CF.2'!$K$102:$K$108,'CF.1'!E162,'CF.2'!$M$102:$M$108)</f>
        <v>0</v>
      </c>
      <c r="Q162" s="581">
        <f>SUMIF('CF.2'!$H$113:$H$121,'CF.1'!E162,'CF.2'!$J$113:$J$121)+SUMIF('CF.2'!$K$113:$K$121,'CF.1'!E162,'CF.2'!$M$113:$M$121)</f>
        <v>0</v>
      </c>
      <c r="R162" s="582">
        <f t="shared" si="17"/>
        <v>0</v>
      </c>
      <c r="T162" s="584">
        <f t="shared" si="20"/>
        <v>-581108100</v>
      </c>
    </row>
    <row r="163" spans="3:20" ht="18" customHeight="1">
      <c r="C163" s="6">
        <v>1</v>
      </c>
      <c r="D163" s="578" t="s">
        <v>980</v>
      </c>
      <c r="E163" s="579" t="s">
        <v>980</v>
      </c>
      <c r="F163" s="580"/>
      <c r="G163" s="579" t="s">
        <v>981</v>
      </c>
      <c r="H163" s="581"/>
      <c r="I163" s="581">
        <v>0</v>
      </c>
      <c r="J163" s="581">
        <v>0</v>
      </c>
      <c r="K163" s="582">
        <f t="shared" si="19"/>
        <v>0</v>
      </c>
      <c r="M163" s="583">
        <f>SUMIF('CF.2'!$H$5:$H$24,'CF.1'!E163,'CF.2'!$J$5:$J$24)-SUMIF('CF.2'!$K$5:$K$24,'CF.1'!E163,'CF.2'!$M$5:$M$24)</f>
        <v>0</v>
      </c>
      <c r="N163" s="581">
        <f>SUMIF('CF.2'!$H$30:$H$59,'CF.1'!E163,'CF.2'!$J$30:$J$59)+SUMIF('CF.2'!$K$30:$K$59,'CF.1'!E163,'CF.2'!$M$30:$M$59)</f>
        <v>0</v>
      </c>
      <c r="O163" s="581">
        <f>SUMIF('CF.2'!$H$64:$H$98,'CF.1'!E163,'CF.2'!$J$64:$J$98)+SUMIF('CF.2'!$K$64:$K$98,'CF.1'!E163,'CF.2'!$M$64:$M$98)</f>
        <v>0</v>
      </c>
      <c r="P163" s="581">
        <f>SUMIF('CF.2'!$H$102:$H$108,'CF.1'!E163,'CF.2'!$J$102:$J$108)+SUMIF('CF.2'!$K$102:$K$108,'CF.1'!E163,'CF.2'!$M$102:$M$108)</f>
        <v>0</v>
      </c>
      <c r="Q163" s="581">
        <f>SUMIF('CF.2'!$H$113:$H$121,'CF.1'!E163,'CF.2'!$J$113:$J$121)+SUMIF('CF.2'!$K$113:$K$121,'CF.1'!E163,'CF.2'!$M$113:$M$121)</f>
        <v>0</v>
      </c>
      <c r="R163" s="582">
        <f t="shared" si="17"/>
        <v>0</v>
      </c>
      <c r="T163" s="584">
        <f t="shared" si="20"/>
        <v>0</v>
      </c>
    </row>
    <row r="164" spans="3:20" ht="18" customHeight="1">
      <c r="C164" s="6">
        <v>1</v>
      </c>
      <c r="D164" s="578" t="s">
        <v>982</v>
      </c>
      <c r="E164" s="579" t="s">
        <v>982</v>
      </c>
      <c r="F164" s="580"/>
      <c r="G164" s="579" t="s">
        <v>983</v>
      </c>
      <c r="H164" s="581"/>
      <c r="I164" s="581">
        <v>0</v>
      </c>
      <c r="J164" s="581">
        <v>0</v>
      </c>
      <c r="K164" s="582">
        <f t="shared" si="19"/>
        <v>0</v>
      </c>
      <c r="M164" s="583">
        <f>SUMIF('CF.2'!$H$5:$H$24,'CF.1'!E164,'CF.2'!$J$5:$J$24)-SUMIF('CF.2'!$K$5:$K$24,'CF.1'!E164,'CF.2'!$M$5:$M$24)</f>
        <v>0</v>
      </c>
      <c r="N164" s="581">
        <f>SUMIF('CF.2'!$H$30:$H$59,'CF.1'!E164,'CF.2'!$J$30:$J$59)+SUMIF('CF.2'!$K$30:$K$59,'CF.1'!E164,'CF.2'!$M$30:$M$59)</f>
        <v>0</v>
      </c>
      <c r="O164" s="581">
        <f>SUMIF('CF.2'!$H$64:$H$98,'CF.1'!E164,'CF.2'!$J$64:$J$98)+SUMIF('CF.2'!$K$64:$K$98,'CF.1'!E164,'CF.2'!$M$64:$M$98)</f>
        <v>0</v>
      </c>
      <c r="P164" s="581">
        <f>SUMIF('CF.2'!$H$102:$H$108,'CF.1'!E164,'CF.2'!$J$102:$J$108)+SUMIF('CF.2'!$K$102:$K$108,'CF.1'!E164,'CF.2'!$M$102:$M$108)</f>
        <v>0</v>
      </c>
      <c r="Q164" s="581">
        <f>SUMIF('CF.2'!$H$113:$H$121,'CF.1'!E164,'CF.2'!$J$113:$J$121)+SUMIF('CF.2'!$K$113:$K$121,'CF.1'!E164,'CF.2'!$M$113:$M$121)</f>
        <v>0</v>
      </c>
      <c r="R164" s="582">
        <f t="shared" si="17"/>
        <v>0</v>
      </c>
      <c r="T164" s="584">
        <f t="shared" si="20"/>
        <v>0</v>
      </c>
    </row>
    <row r="165" spans="3:20" ht="18" customHeight="1">
      <c r="C165" s="6">
        <v>1</v>
      </c>
      <c r="D165" s="578" t="s">
        <v>984</v>
      </c>
      <c r="E165" s="579" t="s">
        <v>984</v>
      </c>
      <c r="F165" s="580"/>
      <c r="G165" s="579" t="s">
        <v>985</v>
      </c>
      <c r="H165" s="581">
        <v>0</v>
      </c>
      <c r="I165" s="581">
        <v>0</v>
      </c>
      <c r="J165" s="581">
        <v>0</v>
      </c>
      <c r="K165" s="582">
        <f t="shared" si="19"/>
        <v>0</v>
      </c>
      <c r="M165" s="583">
        <f>SUMIF('CF.2'!$H$5:$H$24,'CF.1'!E165,'CF.2'!$J$5:$J$24)-SUMIF('CF.2'!$K$5:$K$24,'CF.1'!E165,'CF.2'!$M$5:$M$24)</f>
        <v>0</v>
      </c>
      <c r="N165" s="581">
        <f>SUMIF('CF.2'!$H$30:$H$59,'CF.1'!E165,'CF.2'!$J$30:$J$59)+SUMIF('CF.2'!$K$30:$K$59,'CF.1'!E165,'CF.2'!$M$30:$M$59)</f>
        <v>0</v>
      </c>
      <c r="O165" s="581">
        <f>SUMIF('CF.2'!$H$64:$H$98,'CF.1'!E165,'CF.2'!$J$64:$J$98)+SUMIF('CF.2'!$K$64:$K$98,'CF.1'!E165,'CF.2'!$M$64:$M$98)</f>
        <v>0</v>
      </c>
      <c r="P165" s="581">
        <f>SUMIF('CF.2'!$H$102:$H$108,'CF.1'!E165,'CF.2'!$J$102:$J$108)+SUMIF('CF.2'!$K$102:$K$108,'CF.1'!E165,'CF.2'!$M$102:$M$108)</f>
        <v>0</v>
      </c>
      <c r="Q165" s="581">
        <f>SUMIF('CF.2'!$H$113:$H$121,'CF.1'!E165,'CF.2'!$J$113:$J$121)+SUMIF('CF.2'!$K$113:$K$121,'CF.1'!E165,'CF.2'!$M$113:$M$121)</f>
        <v>0</v>
      </c>
      <c r="R165" s="582">
        <f t="shared" si="17"/>
        <v>0</v>
      </c>
      <c r="T165" s="584">
        <f t="shared" si="20"/>
        <v>0</v>
      </c>
    </row>
    <row r="166" spans="3:20" ht="18" customHeight="1">
      <c r="C166" s="6">
        <v>1</v>
      </c>
      <c r="D166" s="578" t="s">
        <v>986</v>
      </c>
      <c r="E166" s="579" t="s">
        <v>986</v>
      </c>
      <c r="F166" s="580"/>
      <c r="G166" s="579" t="s">
        <v>987</v>
      </c>
      <c r="H166" s="581">
        <v>0</v>
      </c>
      <c r="I166" s="581">
        <v>0</v>
      </c>
      <c r="J166" s="581">
        <v>0</v>
      </c>
      <c r="K166" s="582">
        <f t="shared" si="19"/>
        <v>0</v>
      </c>
      <c r="M166" s="583">
        <f>SUMIF('CF.2'!$H$5:$H$24,'CF.1'!E166,'CF.2'!$J$5:$J$24)-SUMIF('CF.2'!$K$5:$K$24,'CF.1'!E166,'CF.2'!$M$5:$M$24)</f>
        <v>0</v>
      </c>
      <c r="N166" s="581">
        <f>SUMIF('CF.2'!$H$30:$H$59,'CF.1'!E166,'CF.2'!$J$30:$J$59)+SUMIF('CF.2'!$K$30:$K$59,'CF.1'!E166,'CF.2'!$M$30:$M$59)</f>
        <v>0</v>
      </c>
      <c r="O166" s="581">
        <f>SUMIF('CF.2'!$H$64:$H$98,'CF.1'!E166,'CF.2'!$J$64:$J$98)+SUMIF('CF.2'!$K$64:$K$98,'CF.1'!E166,'CF.2'!$M$64:$M$98)</f>
        <v>0</v>
      </c>
      <c r="P166" s="581">
        <f>SUMIF('CF.2'!$H$102:$H$108,'CF.1'!E166,'CF.2'!$J$102:$J$108)+SUMIF('CF.2'!$K$102:$K$108,'CF.1'!E166,'CF.2'!$M$102:$M$108)</f>
        <v>0</v>
      </c>
      <c r="Q166" s="581">
        <f>SUMIF('CF.2'!$H$113:$H$121,'CF.1'!E166,'CF.2'!$J$113:$J$121)+SUMIF('CF.2'!$K$113:$K$121,'CF.1'!E166,'CF.2'!$M$113:$M$121)</f>
        <v>0</v>
      </c>
      <c r="R166" s="582">
        <f t="shared" si="17"/>
        <v>0</v>
      </c>
      <c r="T166" s="584">
        <f t="shared" si="20"/>
        <v>0</v>
      </c>
    </row>
    <row r="167" spans="3:20" ht="18" customHeight="1">
      <c r="C167" s="6">
        <v>1</v>
      </c>
      <c r="D167" s="578" t="s">
        <v>988</v>
      </c>
      <c r="E167" s="579" t="s">
        <v>988</v>
      </c>
      <c r="F167" s="580"/>
      <c r="G167" s="579" t="s">
        <v>989</v>
      </c>
      <c r="H167" s="581">
        <v>0</v>
      </c>
      <c r="I167" s="581">
        <v>0</v>
      </c>
      <c r="J167" s="581">
        <v>0</v>
      </c>
      <c r="K167" s="582">
        <f t="shared" si="19"/>
        <v>0</v>
      </c>
      <c r="M167" s="583">
        <f>SUMIF('CF.2'!$H$5:$H$24,'CF.1'!E167,'CF.2'!$J$5:$J$24)-SUMIF('CF.2'!$K$5:$K$24,'CF.1'!E167,'CF.2'!$M$5:$M$24)</f>
        <v>0</v>
      </c>
      <c r="N167" s="581">
        <f>SUMIF('CF.2'!$H$30:$H$59,'CF.1'!E167,'CF.2'!$J$30:$J$59)+SUMIF('CF.2'!$K$30:$K$59,'CF.1'!E167,'CF.2'!$M$30:$M$59)</f>
        <v>0</v>
      </c>
      <c r="O167" s="581">
        <f>SUMIF('CF.2'!$H$64:$H$98,'CF.1'!E167,'CF.2'!$J$64:$J$98)+SUMIF('CF.2'!$K$64:$K$98,'CF.1'!E167,'CF.2'!$M$64:$M$98)</f>
        <v>0</v>
      </c>
      <c r="P167" s="581">
        <f>SUMIF('CF.2'!$H$102:$H$108,'CF.1'!E167,'CF.2'!$J$102:$J$108)+SUMIF('CF.2'!$K$102:$K$108,'CF.1'!E167,'CF.2'!$M$102:$M$108)</f>
        <v>0</v>
      </c>
      <c r="Q167" s="581">
        <f>SUMIF('CF.2'!$H$113:$H$121,'CF.1'!E167,'CF.2'!$J$113:$J$121)+SUMIF('CF.2'!$K$113:$K$121,'CF.1'!E167,'CF.2'!$M$113:$M$121)</f>
        <v>0</v>
      </c>
      <c r="R167" s="582">
        <f t="shared" si="17"/>
        <v>0</v>
      </c>
      <c r="T167" s="584">
        <f t="shared" si="20"/>
        <v>0</v>
      </c>
    </row>
    <row r="168" spans="3:20" ht="18" customHeight="1">
      <c r="C168" s="6">
        <v>1</v>
      </c>
      <c r="D168" s="578" t="s">
        <v>990</v>
      </c>
      <c r="E168" s="579" t="s">
        <v>990</v>
      </c>
      <c r="F168" s="580"/>
      <c r="G168" s="579" t="s">
        <v>991</v>
      </c>
      <c r="H168" s="581">
        <v>0</v>
      </c>
      <c r="I168" s="581">
        <v>0</v>
      </c>
      <c r="J168" s="581">
        <v>0</v>
      </c>
      <c r="K168" s="582">
        <f t="shared" si="19"/>
        <v>0</v>
      </c>
      <c r="M168" s="583">
        <f>SUMIF('CF.2'!$H$5:$H$24,'CF.1'!E168,'CF.2'!$J$5:$J$24)-SUMIF('CF.2'!$K$5:$K$24,'CF.1'!E168,'CF.2'!$M$5:$M$24)</f>
        <v>0</v>
      </c>
      <c r="N168" s="581">
        <f>SUMIF('CF.2'!$H$30:$H$59,'CF.1'!E168,'CF.2'!$J$30:$J$59)+SUMIF('CF.2'!$K$30:$K$59,'CF.1'!E168,'CF.2'!$M$30:$M$59)</f>
        <v>0</v>
      </c>
      <c r="O168" s="581">
        <f>SUMIF('CF.2'!$H$64:$H$98,'CF.1'!E168,'CF.2'!$J$64:$J$98)+SUMIF('CF.2'!$K$64:$K$98,'CF.1'!E168,'CF.2'!$M$64:$M$98)</f>
        <v>0</v>
      </c>
      <c r="P168" s="581">
        <f>SUMIF('CF.2'!$H$102:$H$108,'CF.1'!E168,'CF.2'!$J$102:$J$108)+SUMIF('CF.2'!$K$102:$K$108,'CF.1'!E168,'CF.2'!$M$102:$M$108)</f>
        <v>0</v>
      </c>
      <c r="Q168" s="581">
        <f>SUMIF('CF.2'!$H$113:$H$121,'CF.1'!E168,'CF.2'!$J$113:$J$121)+SUMIF('CF.2'!$K$113:$K$121,'CF.1'!E168,'CF.2'!$M$113:$M$121)</f>
        <v>0</v>
      </c>
      <c r="R168" s="582">
        <f t="shared" si="17"/>
        <v>0</v>
      </c>
      <c r="T168" s="584">
        <f t="shared" si="20"/>
        <v>0</v>
      </c>
    </row>
    <row r="169" spans="3:20" ht="18" customHeight="1">
      <c r="C169" s="6">
        <v>1</v>
      </c>
      <c r="D169" s="578" t="s">
        <v>992</v>
      </c>
      <c r="E169" s="579" t="s">
        <v>992</v>
      </c>
      <c r="F169" s="580"/>
      <c r="G169" s="579" t="s">
        <v>993</v>
      </c>
      <c r="H169" s="581">
        <v>0</v>
      </c>
      <c r="I169" s="581">
        <v>0</v>
      </c>
      <c r="J169" s="581">
        <v>0</v>
      </c>
      <c r="K169" s="582">
        <f t="shared" si="19"/>
        <v>0</v>
      </c>
      <c r="M169" s="583">
        <f>SUMIF('CF.2'!$H$5:$H$24,'CF.1'!E169,'CF.2'!$J$5:$J$24)-SUMIF('CF.2'!$K$5:$K$24,'CF.1'!E169,'CF.2'!$M$5:$M$24)</f>
        <v>0</v>
      </c>
      <c r="N169" s="581">
        <f>SUMIF('CF.2'!$H$30:$H$59,'CF.1'!E169,'CF.2'!$J$30:$J$59)+SUMIF('CF.2'!$K$30:$K$59,'CF.1'!E169,'CF.2'!$M$30:$M$59)</f>
        <v>0</v>
      </c>
      <c r="O169" s="581">
        <f>SUMIF('CF.2'!$H$64:$H$98,'CF.1'!E169,'CF.2'!$J$64:$J$98)+SUMIF('CF.2'!$K$64:$K$98,'CF.1'!E169,'CF.2'!$M$64:$M$98)</f>
        <v>0</v>
      </c>
      <c r="P169" s="581">
        <f>SUMIF('CF.2'!$H$102:$H$108,'CF.1'!E169,'CF.2'!$J$102:$J$108)+SUMIF('CF.2'!$K$102:$K$108,'CF.1'!E169,'CF.2'!$M$102:$M$108)</f>
        <v>0</v>
      </c>
      <c r="Q169" s="581">
        <f>SUMIF('CF.2'!$H$113:$H$121,'CF.1'!E169,'CF.2'!$J$113:$J$121)+SUMIF('CF.2'!$K$113:$K$121,'CF.1'!E169,'CF.2'!$M$113:$M$121)</f>
        <v>0</v>
      </c>
      <c r="R169" s="582">
        <f t="shared" si="17"/>
        <v>0</v>
      </c>
      <c r="T169" s="584">
        <f t="shared" si="20"/>
        <v>0</v>
      </c>
    </row>
    <row r="170" spans="3:20" ht="18" customHeight="1">
      <c r="C170" s="6">
        <v>1</v>
      </c>
      <c r="D170" s="578" t="s">
        <v>994</v>
      </c>
      <c r="E170" s="579" t="s">
        <v>994</v>
      </c>
      <c r="F170" s="580"/>
      <c r="G170" s="579" t="s">
        <v>995</v>
      </c>
      <c r="H170" s="581">
        <v>0</v>
      </c>
      <c r="I170" s="581">
        <v>0</v>
      </c>
      <c r="J170" s="581">
        <v>0</v>
      </c>
      <c r="K170" s="582">
        <f t="shared" si="19"/>
        <v>0</v>
      </c>
      <c r="M170" s="583">
        <f>SUMIF('CF.2'!$H$5:$H$24,'CF.1'!E170,'CF.2'!$J$5:$J$24)-SUMIF('CF.2'!$K$5:$K$24,'CF.1'!E170,'CF.2'!$M$5:$M$24)</f>
        <v>0</v>
      </c>
      <c r="N170" s="581">
        <f>SUMIF('CF.2'!$H$30:$H$59,'CF.1'!E170,'CF.2'!$J$30:$J$59)+SUMIF('CF.2'!$K$30:$K$59,'CF.1'!E170,'CF.2'!$M$30:$M$59)</f>
        <v>0</v>
      </c>
      <c r="O170" s="581">
        <f>SUMIF('CF.2'!$H$64:$H$98,'CF.1'!E170,'CF.2'!$J$64:$J$98)+SUMIF('CF.2'!$K$64:$K$98,'CF.1'!E170,'CF.2'!$M$64:$M$98)</f>
        <v>0</v>
      </c>
      <c r="P170" s="581">
        <f>SUMIF('CF.2'!$H$102:$H$108,'CF.1'!E170,'CF.2'!$J$102:$J$108)+SUMIF('CF.2'!$K$102:$K$108,'CF.1'!E170,'CF.2'!$M$102:$M$108)</f>
        <v>0</v>
      </c>
      <c r="Q170" s="581">
        <f>SUMIF('CF.2'!$H$113:$H$121,'CF.1'!E170,'CF.2'!$J$113:$J$121)+SUMIF('CF.2'!$K$113:$K$121,'CF.1'!E170,'CF.2'!$M$113:$M$121)</f>
        <v>0</v>
      </c>
      <c r="R170" s="582">
        <f t="shared" si="17"/>
        <v>0</v>
      </c>
      <c r="T170" s="584">
        <f t="shared" si="20"/>
        <v>0</v>
      </c>
    </row>
    <row r="171" spans="3:20" ht="18" customHeight="1">
      <c r="C171" s="6">
        <v>1</v>
      </c>
      <c r="D171" s="586" t="s">
        <v>994</v>
      </c>
      <c r="E171" s="579" t="s">
        <v>996</v>
      </c>
      <c r="F171" s="580" t="s">
        <v>1469</v>
      </c>
      <c r="G171" s="579" t="s">
        <v>997</v>
      </c>
      <c r="H171" s="879">
        <v>119669243</v>
      </c>
      <c r="I171" s="581">
        <v>0</v>
      </c>
      <c r="J171" s="581">
        <v>0</v>
      </c>
      <c r="K171" s="582">
        <f t="shared" si="19"/>
        <v>119669243</v>
      </c>
      <c r="M171" s="583">
        <f>SUMIF('CF.2'!$H$5:$H$24,'CF.1'!E171,'CF.2'!$J$5:$J$24)-SUMIF('CF.2'!$K$5:$K$24,'CF.1'!E171,'CF.2'!$M$5:$M$24)</f>
        <v>0</v>
      </c>
      <c r="N171" s="581">
        <f>SUMIF('CF.2'!$H$30:$H$59,'CF.1'!E171,'CF.2'!$J$30:$J$59)+SUMIF('CF.2'!$K$30:$K$59,'CF.1'!E171,'CF.2'!$M$30:$M$59)</f>
        <v>0</v>
      </c>
      <c r="O171" s="581">
        <f>SUMIF('CF.2'!$H$64:$H$98,'CF.1'!E171,'CF.2'!$J$64:$J$98)+SUMIF('CF.2'!$K$64:$K$98,'CF.1'!E171,'CF.2'!$M$64:$M$98)</f>
        <v>0</v>
      </c>
      <c r="P171" s="581">
        <f>SUMIF('CF.2'!$H$102:$H$108,'CF.1'!E171,'CF.2'!$J$102:$J$108)+SUMIF('CF.2'!$K$102:$K$108,'CF.1'!E171,'CF.2'!$M$102:$M$108)</f>
        <v>0</v>
      </c>
      <c r="Q171" s="581">
        <f>SUMIF('CF.2'!$H$113:$H$121,'CF.1'!E171,'CF.2'!$J$113:$J$121)+SUMIF('CF.2'!$K$113:$K$121,'CF.1'!E171,'CF.2'!$M$113:$M$121)</f>
        <v>0</v>
      </c>
      <c r="R171" s="582">
        <f t="shared" si="17"/>
        <v>0</v>
      </c>
      <c r="T171" s="584">
        <f t="shared" si="20"/>
        <v>119669243</v>
      </c>
    </row>
    <row r="172" spans="3:20" ht="18" customHeight="1">
      <c r="C172" s="6">
        <v>1</v>
      </c>
      <c r="D172" s="586" t="s">
        <v>998</v>
      </c>
      <c r="E172" s="579" t="s">
        <v>998</v>
      </c>
      <c r="F172" s="580"/>
      <c r="G172" s="579" t="s">
        <v>999</v>
      </c>
      <c r="H172" s="581">
        <v>0</v>
      </c>
      <c r="I172" s="581">
        <v>0</v>
      </c>
      <c r="J172" s="581">
        <v>0</v>
      </c>
      <c r="K172" s="582">
        <f t="shared" si="19"/>
        <v>0</v>
      </c>
      <c r="M172" s="583">
        <f>SUMIF('CF.2'!$H$5:$H$24,'CF.1'!E172,'CF.2'!$J$5:$J$24)-SUMIF('CF.2'!$K$5:$K$24,'CF.1'!E172,'CF.2'!$M$5:$M$24)</f>
        <v>0</v>
      </c>
      <c r="N172" s="581">
        <f>SUMIF('CF.2'!$H$30:$H$59,'CF.1'!E172,'CF.2'!$J$30:$J$59)+SUMIF('CF.2'!$K$30:$K$59,'CF.1'!E172,'CF.2'!$M$30:$M$59)</f>
        <v>0</v>
      </c>
      <c r="O172" s="581">
        <f>SUMIF('CF.2'!$H$64:$H$98,'CF.1'!E172,'CF.2'!$J$64:$J$98)+SUMIF('CF.2'!$K$64:$K$98,'CF.1'!E172,'CF.2'!$M$64:$M$98)</f>
        <v>0</v>
      </c>
      <c r="P172" s="581">
        <f>SUMIF('CF.2'!$H$102:$H$108,'CF.1'!E172,'CF.2'!$J$102:$J$108)+SUMIF('CF.2'!$K$102:$K$108,'CF.1'!E172,'CF.2'!$M$102:$M$108)</f>
        <v>0</v>
      </c>
      <c r="Q172" s="581">
        <f>SUMIF('CF.2'!$H$113:$H$121,'CF.1'!E172,'CF.2'!$J$113:$J$121)+SUMIF('CF.2'!$K$113:$K$121,'CF.1'!E172,'CF.2'!$M$113:$M$121)</f>
        <v>0</v>
      </c>
      <c r="R172" s="582">
        <f t="shared" si="17"/>
        <v>0</v>
      </c>
      <c r="T172" s="584">
        <f t="shared" si="20"/>
        <v>0</v>
      </c>
    </row>
    <row r="173" spans="3:20" ht="18" customHeight="1">
      <c r="C173" s="6">
        <v>1</v>
      </c>
      <c r="D173" s="586" t="s">
        <v>994</v>
      </c>
      <c r="E173" s="579" t="s">
        <v>1000</v>
      </c>
      <c r="F173" s="580" t="s">
        <v>1473</v>
      </c>
      <c r="G173" s="579" t="s">
        <v>1001</v>
      </c>
      <c r="H173" s="581">
        <v>-239965996</v>
      </c>
      <c r="I173" s="581">
        <v>0</v>
      </c>
      <c r="J173" s="581">
        <v>0</v>
      </c>
      <c r="K173" s="582">
        <f t="shared" si="19"/>
        <v>-239965996</v>
      </c>
      <c r="M173" s="583">
        <f>SUMIF('CF.2'!$H$5:$H$24,'CF.1'!E173,'CF.2'!$J$5:$J$24)-SUMIF('CF.2'!$K$5:$K$24,'CF.1'!E173,'CF.2'!$M$5:$M$24)</f>
        <v>0</v>
      </c>
      <c r="N173" s="581">
        <f>SUMIF('CF.2'!$H$30:$H$59,'CF.1'!E173,'CF.2'!$J$30:$J$59)+SUMIF('CF.2'!$K$30:$K$59,'CF.1'!E173,'CF.2'!$M$30:$M$59)</f>
        <v>0</v>
      </c>
      <c r="O173" s="581">
        <f>SUMIF('CF.2'!$H$64:$H$98,'CF.1'!E173,'CF.2'!$J$64:$J$98)+SUMIF('CF.2'!$K$64:$K$98,'CF.1'!E173,'CF.2'!$M$64:$M$98)</f>
        <v>0</v>
      </c>
      <c r="P173" s="581">
        <f>SUMIF('CF.2'!$H$102:$H$108,'CF.1'!E173,'CF.2'!$J$102:$J$108)+SUMIF('CF.2'!$K$102:$K$108,'CF.1'!E173,'CF.2'!$M$102:$M$108)</f>
        <v>0</v>
      </c>
      <c r="Q173" s="581">
        <f>SUMIF('CF.2'!$H$113:$H$121,'CF.1'!E173,'CF.2'!$J$113:$J$121)+SUMIF('CF.2'!$K$113:$K$121,'CF.1'!E173,'CF.2'!$M$113:$M$121)</f>
        <v>0</v>
      </c>
      <c r="R173" s="582">
        <f t="shared" si="17"/>
        <v>0</v>
      </c>
      <c r="T173" s="584">
        <f t="shared" si="20"/>
        <v>-239965996</v>
      </c>
    </row>
    <row r="174" spans="3:20" ht="18" customHeight="1">
      <c r="C174" s="6">
        <v>1</v>
      </c>
      <c r="D174" s="578" t="s">
        <v>1002</v>
      </c>
      <c r="E174" s="579" t="s">
        <v>1002</v>
      </c>
      <c r="F174" s="580"/>
      <c r="G174" s="579" t="s">
        <v>1003</v>
      </c>
      <c r="H174" s="581">
        <v>0</v>
      </c>
      <c r="I174" s="581">
        <v>0</v>
      </c>
      <c r="J174" s="581">
        <v>0</v>
      </c>
      <c r="K174" s="582">
        <f t="shared" si="19"/>
        <v>0</v>
      </c>
      <c r="M174" s="583">
        <f>SUMIF('CF.2'!$H$5:$H$24,'CF.1'!E174,'CF.2'!$J$5:$J$24)-SUMIF('CF.2'!$K$5:$K$24,'CF.1'!E174,'CF.2'!$M$5:$M$24)</f>
        <v>0</v>
      </c>
      <c r="N174" s="581">
        <f>SUMIF('CF.2'!$H$30:$H$59,'CF.1'!E174,'CF.2'!$J$30:$J$59)+SUMIF('CF.2'!$K$30:$K$59,'CF.1'!E174,'CF.2'!$M$30:$M$59)</f>
        <v>0</v>
      </c>
      <c r="O174" s="581">
        <f>SUMIF('CF.2'!$H$64:$H$98,'CF.1'!E174,'CF.2'!$J$64:$J$98)+SUMIF('CF.2'!$K$64:$K$98,'CF.1'!E174,'CF.2'!$M$64:$M$98)</f>
        <v>0</v>
      </c>
      <c r="P174" s="581">
        <f>SUMIF('CF.2'!$H$102:$H$108,'CF.1'!E174,'CF.2'!$J$102:$J$108)+SUMIF('CF.2'!$K$102:$K$108,'CF.1'!E174,'CF.2'!$M$102:$M$108)</f>
        <v>0</v>
      </c>
      <c r="Q174" s="581">
        <f>SUMIF('CF.2'!$H$113:$H$121,'CF.1'!E174,'CF.2'!$J$113:$J$121)+SUMIF('CF.2'!$K$113:$K$121,'CF.1'!E174,'CF.2'!$M$113:$M$121)</f>
        <v>0</v>
      </c>
      <c r="R174" s="582">
        <f t="shared" si="17"/>
        <v>0</v>
      </c>
      <c r="T174" s="584">
        <f t="shared" si="20"/>
        <v>0</v>
      </c>
    </row>
    <row r="175" spans="3:20" ht="18" customHeight="1">
      <c r="C175" s="6">
        <v>1</v>
      </c>
      <c r="D175" s="571" t="s">
        <v>1004</v>
      </c>
      <c r="E175" s="572" t="s">
        <v>1004</v>
      </c>
      <c r="F175" s="573"/>
      <c r="G175" s="572" t="s">
        <v>1005</v>
      </c>
      <c r="H175" s="574">
        <f>SUM(H176:H180)</f>
        <v>669457632</v>
      </c>
      <c r="I175" s="574">
        <f>SUM(I176:I180)</f>
        <v>-842856</v>
      </c>
      <c r="J175" s="574">
        <f>SUM(J176:J180)</f>
        <v>-148012821</v>
      </c>
      <c r="K175" s="575">
        <f>SUM(K176:K180)</f>
        <v>520601955</v>
      </c>
      <c r="M175" s="576">
        <f t="shared" ref="M175:R175" si="21">SUM(M176:M180)</f>
        <v>0</v>
      </c>
      <c r="N175" s="574">
        <f t="shared" si="21"/>
        <v>0</v>
      </c>
      <c r="O175" s="574">
        <f t="shared" si="21"/>
        <v>932876</v>
      </c>
      <c r="P175" s="574">
        <f t="shared" si="21"/>
        <v>0</v>
      </c>
      <c r="Q175" s="574">
        <f t="shared" si="21"/>
        <v>0</v>
      </c>
      <c r="R175" s="575">
        <f t="shared" si="21"/>
        <v>932876</v>
      </c>
      <c r="T175" s="577">
        <f>SUM(T176:T180)</f>
        <v>521534831</v>
      </c>
    </row>
    <row r="176" spans="3:20" ht="18" customHeight="1">
      <c r="C176" s="6">
        <v>1</v>
      </c>
      <c r="D176" s="578" t="s">
        <v>1006</v>
      </c>
      <c r="E176" s="579" t="s">
        <v>1006</v>
      </c>
      <c r="F176" s="580"/>
      <c r="G176" s="579" t="s">
        <v>1007</v>
      </c>
      <c r="H176" s="581">
        <v>0</v>
      </c>
      <c r="I176" s="581">
        <v>0</v>
      </c>
      <c r="J176" s="585">
        <v>0</v>
      </c>
      <c r="K176" s="582">
        <f>SUM(H176:J176)</f>
        <v>0</v>
      </c>
      <c r="M176" s="583">
        <f>SUMIF('CF.2'!$H$5:$H$24,'CF.1'!E176,'CF.2'!$J$5:$J$24)-SUMIF('CF.2'!$K$5:$K$24,'CF.1'!E176,'CF.2'!$M$5:$M$24)</f>
        <v>0</v>
      </c>
      <c r="N176" s="581">
        <f>SUMIF('CF.2'!$H$30:$H$59,'CF.1'!E176,'CF.2'!$J$30:$J$59)+SUMIF('CF.2'!$K$30:$K$59,'CF.1'!E176,'CF.2'!$M$30:$M$59)</f>
        <v>0</v>
      </c>
      <c r="O176" s="581">
        <f>SUMIF('CF.2'!$H$64:$H$98,'CF.1'!E176,'CF.2'!$J$64:$J$98)+SUMIF('CF.2'!$K$64:$K$98,'CF.1'!E176,'CF.2'!$M$64:$M$98)</f>
        <v>0</v>
      </c>
      <c r="P176" s="581">
        <f>SUMIF('CF.2'!$H$102:$H$108,'CF.1'!E176,'CF.2'!$J$102:$J$108)+SUMIF('CF.2'!$K$102:$K$108,'CF.1'!E176,'CF.2'!$M$102:$M$108)</f>
        <v>0</v>
      </c>
      <c r="Q176" s="581">
        <f>SUMIF('CF.2'!$H$113:$H$121,'CF.1'!E176,'CF.2'!$J$113:$J$121)+SUMIF('CF.2'!$K$113:$K$121,'CF.1'!E176,'CF.2'!$M$113:$M$121)</f>
        <v>0</v>
      </c>
      <c r="R176" s="582">
        <f>SUM(M176:Q176)</f>
        <v>0</v>
      </c>
      <c r="T176" s="584">
        <f>ROUND(R176+K176,0)</f>
        <v>0</v>
      </c>
    </row>
    <row r="177" spans="3:20" ht="18" customHeight="1">
      <c r="C177" s="6">
        <v>1</v>
      </c>
      <c r="D177" s="578" t="s">
        <v>1008</v>
      </c>
      <c r="E177" s="579" t="s">
        <v>1008</v>
      </c>
      <c r="F177" s="580" t="s">
        <v>1009</v>
      </c>
      <c r="G177" s="579" t="s">
        <v>1009</v>
      </c>
      <c r="H177" s="879">
        <v>611932428</v>
      </c>
      <c r="I177" s="581"/>
      <c r="J177" s="581">
        <v>71620</v>
      </c>
      <c r="K177" s="582">
        <f>SUM(H177:J177)</f>
        <v>612004048</v>
      </c>
      <c r="M177" s="583">
        <f>SUMIF('CF.2'!$H$5:$H$24,'CF.1'!E177,'CF.2'!$J$5:$J$24)-SUMIF('CF.2'!$K$5:$K$24,'CF.1'!E177,'CF.2'!$M$5:$M$24)</f>
        <v>0</v>
      </c>
      <c r="N177" s="581">
        <f>SUMIF('CF.2'!$H$30:$H$59,'CF.1'!E177,'CF.2'!$J$30:$J$59)+SUMIF('CF.2'!$K$30:$K$59,'CF.1'!E177,'CF.2'!$M$30:$M$59)</f>
        <v>0</v>
      </c>
      <c r="O177" s="829">
        <f>'CF.2'!E79</f>
        <v>-8564195</v>
      </c>
      <c r="P177" s="581">
        <f>SUMIF('CF.2'!$H$102:$H$108,'CF.1'!E177,'CF.2'!$J$102:$J$108)+SUMIF('CF.2'!$K$102:$K$108,'CF.1'!E177,'CF.2'!$M$102:$M$108)</f>
        <v>0</v>
      </c>
      <c r="Q177" s="581">
        <f>SUMIF('CF.2'!$H$113:$H$121,'CF.1'!E177,'CF.2'!$J$113:$J$121)+SUMIF('CF.2'!$K$113:$K$121,'CF.1'!E177,'CF.2'!$M$113:$M$121)</f>
        <v>0</v>
      </c>
      <c r="R177" s="582">
        <f>SUM(M177:Q177)</f>
        <v>-8564195</v>
      </c>
      <c r="T177" s="584">
        <f>ROUND(R177+K177,0)</f>
        <v>603439853</v>
      </c>
    </row>
    <row r="178" spans="3:20" ht="18" customHeight="1">
      <c r="C178" s="6">
        <v>1</v>
      </c>
      <c r="D178" s="578" t="s">
        <v>1010</v>
      </c>
      <c r="E178" s="579" t="s">
        <v>1010</v>
      </c>
      <c r="F178" s="580" t="s">
        <v>1011</v>
      </c>
      <c r="G178" s="579" t="s">
        <v>1011</v>
      </c>
      <c r="H178" s="879">
        <v>-124898415</v>
      </c>
      <c r="I178" s="581">
        <v>-2096033</v>
      </c>
      <c r="J178" s="585">
        <v>-54578280</v>
      </c>
      <c r="K178" s="582">
        <f>SUM(H178:J178)</f>
        <v>-181572728</v>
      </c>
      <c r="M178" s="583">
        <f>SUMIF('CF.2'!$H$5:$H$24,'CF.1'!E178,'CF.2'!$J$5:$J$24)-SUMIF('CF.2'!$K$5:$K$24,'CF.1'!E178,'CF.2'!$M$5:$M$24)</f>
        <v>0</v>
      </c>
      <c r="N178" s="581">
        <f>SUMIF('CF.2'!$H$30:$H$59,'CF.1'!E178,'CF.2'!$J$30:$J$59)+SUMIF('CF.2'!$K$30:$K$59,'CF.1'!E178,'CF.2'!$M$30:$M$59)</f>
        <v>0</v>
      </c>
      <c r="O178" s="829">
        <f>'CF.2'!E80</f>
        <v>9497071</v>
      </c>
      <c r="P178" s="581">
        <f>SUMIF('CF.2'!$H$102:$H$108,'CF.1'!E178,'CF.2'!$J$102:$J$108)+SUMIF('CF.2'!$K$102:$K$108,'CF.1'!E178,'CF.2'!$M$102:$M$108)</f>
        <v>0</v>
      </c>
      <c r="Q178" s="581">
        <f>SUMIF('CF.2'!$H$113:$H$121,'CF.1'!E178,'CF.2'!$J$113:$J$121)+SUMIF('CF.2'!$K$113:$K$121,'CF.1'!E178,'CF.2'!$M$113:$M$121)</f>
        <v>0</v>
      </c>
      <c r="R178" s="582">
        <f>SUM(M178:Q178)</f>
        <v>9497071</v>
      </c>
      <c r="T178" s="584">
        <f>ROUND(R178+K178,0)</f>
        <v>-172075657</v>
      </c>
    </row>
    <row r="179" spans="3:20" ht="18" customHeight="1">
      <c r="C179" s="6">
        <v>1</v>
      </c>
      <c r="D179" s="578" t="s">
        <v>1012</v>
      </c>
      <c r="E179" s="579" t="s">
        <v>1012</v>
      </c>
      <c r="F179" s="580" t="s">
        <v>1013</v>
      </c>
      <c r="G179" s="579" t="s">
        <v>1013</v>
      </c>
      <c r="H179" s="879">
        <v>182423619</v>
      </c>
      <c r="I179" s="581">
        <v>1253177</v>
      </c>
      <c r="J179" s="585">
        <v>-93506161</v>
      </c>
      <c r="K179" s="582">
        <f>SUM(H179:J179)</f>
        <v>90170635</v>
      </c>
      <c r="M179" s="583">
        <f>SUMIF('CF.2'!$H$5:$H$24,'CF.1'!E179,'CF.2'!$J$5:$J$24)-SUMIF('CF.2'!$K$5:$K$24,'CF.1'!E179,'CF.2'!$M$5:$M$24)</f>
        <v>0</v>
      </c>
      <c r="N179" s="581">
        <f>SUMIF('CF.2'!$H$30:$H$59,'CF.1'!E179,'CF.2'!$J$30:$J$59)+SUMIF('CF.2'!$K$30:$K$59,'CF.1'!E179,'CF.2'!$M$30:$M$59)</f>
        <v>0</v>
      </c>
      <c r="O179" s="581">
        <f>SUMIF('CF.2'!$H$64:$H$98,'CF.1'!E179,'CF.2'!$J$64:$J$98)+SUMIF('CF.2'!$K$64:$K$98,'CF.1'!E179,'CF.2'!$M$64:$M$98)</f>
        <v>0</v>
      </c>
      <c r="P179" s="581">
        <f>SUMIF('CF.2'!$H$102:$H$108,'CF.1'!E179,'CF.2'!$J$102:$J$108)+SUMIF('CF.2'!$K$102:$K$108,'CF.1'!E179,'CF.2'!$M$102:$M$108)</f>
        <v>0</v>
      </c>
      <c r="Q179" s="581">
        <f>SUMIF('CF.2'!$H$113:$H$121,'CF.1'!E179,'CF.2'!$J$113:$J$121)+SUMIF('CF.2'!$K$113:$K$121,'CF.1'!E179,'CF.2'!$M$113:$M$121)</f>
        <v>0</v>
      </c>
      <c r="R179" s="582">
        <f>SUM(M179:Q179)</f>
        <v>0</v>
      </c>
      <c r="T179" s="584">
        <f>ROUND(R179+K179,0)</f>
        <v>90170635</v>
      </c>
    </row>
    <row r="180" spans="3:20" ht="18" customHeight="1">
      <c r="C180" s="6">
        <v>1</v>
      </c>
      <c r="D180" s="578" t="s">
        <v>1014</v>
      </c>
      <c r="E180" s="579" t="s">
        <v>1014</v>
      </c>
      <c r="F180" s="580" t="s">
        <v>2142</v>
      </c>
      <c r="G180" s="579" t="s">
        <v>1015</v>
      </c>
      <c r="H180" s="581">
        <v>0</v>
      </c>
      <c r="I180" s="581">
        <v>0</v>
      </c>
      <c r="J180" s="585">
        <v>0</v>
      </c>
      <c r="K180" s="582">
        <f>SUM(H180:J180)</f>
        <v>0</v>
      </c>
      <c r="M180" s="583">
        <f>SUMIF('CF.2'!$H$5:$H$24,'CF.1'!E180,'CF.2'!$J$5:$J$24)-SUMIF('CF.2'!$K$5:$K$24,'CF.1'!E180,'CF.2'!$M$5:$M$24)</f>
        <v>0</v>
      </c>
      <c r="N180" s="581">
        <f>SUMIF('CF.2'!$H$30:$H$59,'CF.1'!E180,'CF.2'!$J$30:$J$59)+SUMIF('CF.2'!$K$30:$K$59,'CF.1'!E180,'CF.2'!$M$30:$M$59)</f>
        <v>0</v>
      </c>
      <c r="O180" s="581">
        <f>SUMIF('CF.2'!$H$64:$H$98,'CF.1'!E180,'CF.2'!$J$64:$J$98)+SUMIF('CF.2'!$K$64:$K$98,'CF.1'!E180,'CF.2'!$M$64:$M$98)</f>
        <v>0</v>
      </c>
      <c r="P180" s="581">
        <f>SUMIF('CF.2'!$H$102:$H$108,'CF.1'!E180,'CF.2'!$J$102:$J$108)+SUMIF('CF.2'!$K$102:$K$108,'CF.1'!E180,'CF.2'!$M$102:$M$108)</f>
        <v>0</v>
      </c>
      <c r="Q180" s="581">
        <f>SUMIF('CF.2'!$H$113:$H$121,'CF.1'!E180,'CF.2'!$J$113:$J$121)+SUMIF('CF.2'!$K$113:$K$121,'CF.1'!E180,'CF.2'!$M$113:$M$121)</f>
        <v>0</v>
      </c>
      <c r="R180" s="582">
        <f>SUM(M180:Q180)</f>
        <v>0</v>
      </c>
      <c r="T180" s="584">
        <f>ROUND(R180+K180,0)</f>
        <v>0</v>
      </c>
    </row>
    <row r="181" spans="3:20" ht="18" customHeight="1">
      <c r="C181" s="6">
        <v>1</v>
      </c>
      <c r="D181" s="571" t="s">
        <v>1016</v>
      </c>
      <c r="E181" s="572" t="s">
        <v>1016</v>
      </c>
      <c r="F181" s="573"/>
      <c r="G181" s="572" t="s">
        <v>1017</v>
      </c>
      <c r="H181" s="574">
        <f>H182+H241</f>
        <v>-2466496470</v>
      </c>
      <c r="I181" s="574">
        <f>I182+I241</f>
        <v>-1957628</v>
      </c>
      <c r="J181" s="574">
        <f>J182+J241</f>
        <v>-2423430</v>
      </c>
      <c r="K181" s="575">
        <f>K182+K241</f>
        <v>-2470877528</v>
      </c>
      <c r="M181" s="576">
        <f t="shared" ref="M181:R181" si="22">M182+M241</f>
        <v>0</v>
      </c>
      <c r="N181" s="574">
        <f t="shared" si="22"/>
        <v>0</v>
      </c>
      <c r="O181" s="574">
        <f t="shared" si="22"/>
        <v>0</v>
      </c>
      <c r="P181" s="574">
        <f t="shared" si="22"/>
        <v>0</v>
      </c>
      <c r="Q181" s="574">
        <f t="shared" si="22"/>
        <v>0</v>
      </c>
      <c r="R181" s="575">
        <f t="shared" si="22"/>
        <v>0</v>
      </c>
      <c r="T181" s="577">
        <f>T182+T241</f>
        <v>-2470877528</v>
      </c>
    </row>
    <row r="182" spans="3:20" ht="18" customHeight="1">
      <c r="C182" s="6">
        <v>1</v>
      </c>
      <c r="D182" s="571" t="s">
        <v>1018</v>
      </c>
      <c r="E182" s="572" t="s">
        <v>1018</v>
      </c>
      <c r="F182" s="573"/>
      <c r="G182" s="572" t="s">
        <v>1019</v>
      </c>
      <c r="H182" s="574">
        <f>SUM(H183:H240)</f>
        <v>2032106200</v>
      </c>
      <c r="I182" s="574">
        <f>SUM(I183:I240)</f>
        <v>0</v>
      </c>
      <c r="J182" s="574">
        <f>SUM(J183:J240)</f>
        <v>0</v>
      </c>
      <c r="K182" s="575">
        <f>SUM(K183:K240)</f>
        <v>2032106200</v>
      </c>
      <c r="M182" s="576">
        <f t="shared" ref="M182:R182" si="23">SUM(M183:M240)</f>
        <v>0</v>
      </c>
      <c r="N182" s="574">
        <f t="shared" si="23"/>
        <v>0</v>
      </c>
      <c r="O182" s="574">
        <f t="shared" si="23"/>
        <v>0</v>
      </c>
      <c r="P182" s="574">
        <f t="shared" si="23"/>
        <v>0</v>
      </c>
      <c r="Q182" s="574">
        <f t="shared" si="23"/>
        <v>0</v>
      </c>
      <c r="R182" s="575">
        <f t="shared" si="23"/>
        <v>0</v>
      </c>
      <c r="T182" s="577">
        <f>SUM(T183:T240)</f>
        <v>2032106200</v>
      </c>
    </row>
    <row r="183" spans="3:20" ht="18" customHeight="1">
      <c r="C183" s="6">
        <v>1</v>
      </c>
      <c r="D183" s="578" t="s">
        <v>1020</v>
      </c>
      <c r="E183" s="579" t="s">
        <v>1020</v>
      </c>
      <c r="F183" s="580" t="s">
        <v>1477</v>
      </c>
      <c r="G183" s="579" t="s">
        <v>1021</v>
      </c>
      <c r="H183" s="581">
        <v>347340000</v>
      </c>
      <c r="I183" s="581">
        <v>0</v>
      </c>
      <c r="J183" s="581">
        <v>0</v>
      </c>
      <c r="K183" s="582">
        <f t="shared" ref="K183:K214" si="24">SUM(H183:J183)</f>
        <v>347340000</v>
      </c>
      <c r="M183" s="583">
        <f>SUMIF('CF.2'!$H$5:$H$24,'CF.1'!E183,'CF.2'!$J$5:$J$24)-SUMIF('CF.2'!$K$5:$K$24,'CF.1'!E183,'CF.2'!$M$5:$M$24)</f>
        <v>0</v>
      </c>
      <c r="N183" s="581">
        <f>SUMIF('CF.2'!$H$30:$H$59,'CF.1'!E183,'CF.2'!$J$30:$J$59)+SUMIF('CF.2'!$K$30:$K$59,'CF.1'!E183,'CF.2'!$M$30:$M$59)</f>
        <v>0</v>
      </c>
      <c r="O183" s="581">
        <f>SUMIF('CF.2'!$H$64:$H$98,'CF.1'!E183,'CF.2'!$J$64:$J$98)+SUMIF('CF.2'!$K$64:$K$98,'CF.1'!E183,'CF.2'!$M$64:$M$98)</f>
        <v>0</v>
      </c>
      <c r="P183" s="581">
        <f>SUMIF('CF.2'!$H$102:$H$108,'CF.1'!E183,'CF.2'!$J$102:$J$108)+SUMIF('CF.2'!$K$102:$K$108,'CF.1'!E183,'CF.2'!$M$102:$M$108)</f>
        <v>0</v>
      </c>
      <c r="Q183" s="581">
        <f>SUMIF('CF.2'!$H$113:$H$121,'CF.1'!E183,'CF.2'!$J$113:$J$121)+SUMIF('CF.2'!$K$113:$K$121,'CF.1'!E183,'CF.2'!$M$113:$M$121)</f>
        <v>0</v>
      </c>
      <c r="R183" s="582">
        <f t="shared" ref="R183:R240" si="25">SUM(M183:Q183)</f>
        <v>0</v>
      </c>
      <c r="T183" s="584">
        <f t="shared" ref="T183:T214" si="26">ROUND(R183+K183,0)</f>
        <v>347340000</v>
      </c>
    </row>
    <row r="184" spans="3:20" ht="18" customHeight="1">
      <c r="C184" s="6">
        <v>1</v>
      </c>
      <c r="D184" s="578" t="s">
        <v>1022</v>
      </c>
      <c r="E184" s="579" t="s">
        <v>1022</v>
      </c>
      <c r="F184" s="580" t="s">
        <v>1479</v>
      </c>
      <c r="G184" s="579" t="s">
        <v>1023</v>
      </c>
      <c r="H184" s="581">
        <v>0</v>
      </c>
      <c r="I184" s="581">
        <v>0</v>
      </c>
      <c r="J184" s="581">
        <v>0</v>
      </c>
      <c r="K184" s="582">
        <f t="shared" si="24"/>
        <v>0</v>
      </c>
      <c r="M184" s="583">
        <f>SUMIF('CF.2'!$H$5:$H$24,'CF.1'!E184,'CF.2'!$J$5:$J$24)-SUMIF('CF.2'!$K$5:$K$24,'CF.1'!E184,'CF.2'!$M$5:$M$24)</f>
        <v>0</v>
      </c>
      <c r="N184" s="581">
        <f>SUMIF('CF.2'!$H$30:$H$59,'CF.1'!E184,'CF.2'!$J$30:$J$59)+SUMIF('CF.2'!$K$30:$K$59,'CF.1'!E184,'CF.2'!$M$30:$M$59)</f>
        <v>0</v>
      </c>
      <c r="O184" s="581">
        <f>SUMIF('CF.2'!$H$64:$H$98,'CF.1'!E184,'CF.2'!$J$64:$J$98)+SUMIF('CF.2'!$K$64:$K$98,'CF.1'!E184,'CF.2'!$M$64:$M$98)</f>
        <v>0</v>
      </c>
      <c r="P184" s="581">
        <f>SUMIF('CF.2'!$H$102:$H$108,'CF.1'!E184,'CF.2'!$J$102:$J$108)+SUMIF('CF.2'!$K$102:$K$108,'CF.1'!E184,'CF.2'!$M$102:$M$108)</f>
        <v>0</v>
      </c>
      <c r="Q184" s="581">
        <f>SUMIF('CF.2'!$H$113:$H$121,'CF.1'!E184,'CF.2'!$J$113:$J$121)+SUMIF('CF.2'!$K$113:$K$121,'CF.1'!E184,'CF.2'!$M$113:$M$121)</f>
        <v>0</v>
      </c>
      <c r="R184" s="582">
        <f t="shared" si="25"/>
        <v>0</v>
      </c>
      <c r="T184" s="584">
        <f t="shared" si="26"/>
        <v>0</v>
      </c>
    </row>
    <row r="185" spans="3:20" ht="18" customHeight="1">
      <c r="C185" s="6">
        <v>1</v>
      </c>
      <c r="D185" s="578" t="s">
        <v>1024</v>
      </c>
      <c r="E185" s="579" t="s">
        <v>1024</v>
      </c>
      <c r="F185" s="580"/>
      <c r="G185" s="579" t="s">
        <v>1025</v>
      </c>
      <c r="H185" s="581">
        <v>0</v>
      </c>
      <c r="I185" s="581">
        <v>0</v>
      </c>
      <c r="J185" s="581">
        <v>0</v>
      </c>
      <c r="K185" s="582">
        <f t="shared" si="24"/>
        <v>0</v>
      </c>
      <c r="M185" s="583">
        <f>SUMIF('CF.2'!$H$5:$H$24,'CF.1'!E185,'CF.2'!$J$5:$J$24)-SUMIF('CF.2'!$K$5:$K$24,'CF.1'!E185,'CF.2'!$M$5:$M$24)</f>
        <v>0</v>
      </c>
      <c r="N185" s="581">
        <f>SUMIF('CF.2'!$H$30:$H$59,'CF.1'!E185,'CF.2'!$J$30:$J$59)+SUMIF('CF.2'!$K$30:$K$59,'CF.1'!E185,'CF.2'!$M$30:$M$59)</f>
        <v>0</v>
      </c>
      <c r="O185" s="581">
        <f>SUMIF('CF.2'!$H$64:$H$98,'CF.1'!E185,'CF.2'!$J$64:$J$98)+SUMIF('CF.2'!$K$64:$K$98,'CF.1'!E185,'CF.2'!$M$64:$M$98)</f>
        <v>0</v>
      </c>
      <c r="P185" s="581">
        <f>SUMIF('CF.2'!$H$102:$H$108,'CF.1'!E185,'CF.2'!$J$102:$J$108)+SUMIF('CF.2'!$K$102:$K$108,'CF.1'!E185,'CF.2'!$M$102:$M$108)</f>
        <v>0</v>
      </c>
      <c r="Q185" s="581">
        <f>SUMIF('CF.2'!$H$113:$H$121,'CF.1'!E185,'CF.2'!$J$113:$J$121)+SUMIF('CF.2'!$K$113:$K$121,'CF.1'!E185,'CF.2'!$M$113:$M$121)</f>
        <v>0</v>
      </c>
      <c r="R185" s="582">
        <f t="shared" si="25"/>
        <v>0</v>
      </c>
      <c r="T185" s="584">
        <f t="shared" si="26"/>
        <v>0</v>
      </c>
    </row>
    <row r="186" spans="3:20" ht="18" customHeight="1">
      <c r="C186" s="6">
        <v>1</v>
      </c>
      <c r="D186" s="578" t="s">
        <v>1026</v>
      </c>
      <c r="E186" s="579" t="s">
        <v>1026</v>
      </c>
      <c r="F186" s="580"/>
      <c r="G186" s="579" t="s">
        <v>1027</v>
      </c>
      <c r="H186" s="581">
        <v>0</v>
      </c>
      <c r="I186" s="581">
        <v>0</v>
      </c>
      <c r="J186" s="581">
        <v>0</v>
      </c>
      <c r="K186" s="582">
        <f t="shared" si="24"/>
        <v>0</v>
      </c>
      <c r="M186" s="583">
        <f>SUMIF('CF.2'!$H$5:$H$24,'CF.1'!E186,'CF.2'!$J$5:$J$24)-SUMIF('CF.2'!$K$5:$K$24,'CF.1'!E186,'CF.2'!$M$5:$M$24)</f>
        <v>0</v>
      </c>
      <c r="N186" s="581">
        <f>SUMIF('CF.2'!$H$30:$H$59,'CF.1'!E186,'CF.2'!$J$30:$J$59)+SUMIF('CF.2'!$K$30:$K$59,'CF.1'!E186,'CF.2'!$M$30:$M$59)</f>
        <v>0</v>
      </c>
      <c r="O186" s="581">
        <f>SUMIF('CF.2'!$H$64:$H$98,'CF.1'!E186,'CF.2'!$J$64:$J$98)+SUMIF('CF.2'!$K$64:$K$98,'CF.1'!E186,'CF.2'!$M$64:$M$98)</f>
        <v>0</v>
      </c>
      <c r="P186" s="581">
        <f>SUMIF('CF.2'!$H$102:$H$108,'CF.1'!E186,'CF.2'!$J$102:$J$108)+SUMIF('CF.2'!$K$102:$K$108,'CF.1'!E186,'CF.2'!$M$102:$M$108)</f>
        <v>0</v>
      </c>
      <c r="Q186" s="581">
        <f>SUMIF('CF.2'!$H$113:$H$121,'CF.1'!E186,'CF.2'!$J$113:$J$121)+SUMIF('CF.2'!$K$113:$K$121,'CF.1'!E186,'CF.2'!$M$113:$M$121)</f>
        <v>0</v>
      </c>
      <c r="R186" s="582">
        <f t="shared" si="25"/>
        <v>0</v>
      </c>
      <c r="T186" s="584">
        <f t="shared" si="26"/>
        <v>0</v>
      </c>
    </row>
    <row r="187" spans="3:20" ht="18" customHeight="1">
      <c r="C187" s="6">
        <v>1</v>
      </c>
      <c r="D187" s="578" t="s">
        <v>1028</v>
      </c>
      <c r="E187" s="579" t="s">
        <v>1028</v>
      </c>
      <c r="F187" s="580"/>
      <c r="G187" s="579" t="s">
        <v>1029</v>
      </c>
      <c r="H187" s="581">
        <v>0</v>
      </c>
      <c r="I187" s="581">
        <v>0</v>
      </c>
      <c r="J187" s="581">
        <v>0</v>
      </c>
      <c r="K187" s="582">
        <f t="shared" si="24"/>
        <v>0</v>
      </c>
      <c r="M187" s="583">
        <f>SUMIF('CF.2'!$H$5:$H$24,'CF.1'!E187,'CF.2'!$J$5:$J$24)-SUMIF('CF.2'!$K$5:$K$24,'CF.1'!E187,'CF.2'!$M$5:$M$24)</f>
        <v>0</v>
      </c>
      <c r="N187" s="581">
        <f>SUMIF('CF.2'!$H$30:$H$59,'CF.1'!E187,'CF.2'!$J$30:$J$59)+SUMIF('CF.2'!$K$30:$K$59,'CF.1'!E187,'CF.2'!$M$30:$M$59)</f>
        <v>0</v>
      </c>
      <c r="O187" s="581">
        <f>SUMIF('CF.2'!$H$64:$H$98,'CF.1'!E187,'CF.2'!$J$64:$J$98)+SUMIF('CF.2'!$K$64:$K$98,'CF.1'!E187,'CF.2'!$M$64:$M$98)</f>
        <v>0</v>
      </c>
      <c r="P187" s="581">
        <f>SUMIF('CF.2'!$H$102:$H$108,'CF.1'!E187,'CF.2'!$J$102:$J$108)+SUMIF('CF.2'!$K$102:$K$108,'CF.1'!E187,'CF.2'!$M$102:$M$108)</f>
        <v>0</v>
      </c>
      <c r="Q187" s="581">
        <f>SUMIF('CF.2'!$H$113:$H$121,'CF.1'!E187,'CF.2'!$J$113:$J$121)+SUMIF('CF.2'!$K$113:$K$121,'CF.1'!E187,'CF.2'!$M$113:$M$121)</f>
        <v>0</v>
      </c>
      <c r="R187" s="582">
        <f t="shared" si="25"/>
        <v>0</v>
      </c>
      <c r="T187" s="584">
        <f t="shared" si="26"/>
        <v>0</v>
      </c>
    </row>
    <row r="188" spans="3:20" ht="18" customHeight="1">
      <c r="C188" s="6">
        <v>1</v>
      </c>
      <c r="D188" s="578" t="s">
        <v>1030</v>
      </c>
      <c r="E188" s="579" t="s">
        <v>1030</v>
      </c>
      <c r="F188" s="580"/>
      <c r="G188" s="579" t="s">
        <v>1031</v>
      </c>
      <c r="H188" s="581">
        <v>0</v>
      </c>
      <c r="I188" s="581">
        <v>0</v>
      </c>
      <c r="J188" s="581">
        <v>0</v>
      </c>
      <c r="K188" s="582">
        <f t="shared" si="24"/>
        <v>0</v>
      </c>
      <c r="M188" s="583">
        <f>SUMIF('CF.2'!$H$5:$H$24,'CF.1'!E188,'CF.2'!$J$5:$J$24)-SUMIF('CF.2'!$K$5:$K$24,'CF.1'!E188,'CF.2'!$M$5:$M$24)</f>
        <v>0</v>
      </c>
      <c r="N188" s="581">
        <f>SUMIF('CF.2'!$H$30:$H$59,'CF.1'!E188,'CF.2'!$J$30:$J$59)+SUMIF('CF.2'!$K$30:$K$59,'CF.1'!E188,'CF.2'!$M$30:$M$59)</f>
        <v>0</v>
      </c>
      <c r="O188" s="581">
        <f>SUMIF('CF.2'!$H$64:$H$98,'CF.1'!E188,'CF.2'!$J$64:$J$98)+SUMIF('CF.2'!$K$64:$K$98,'CF.1'!E188,'CF.2'!$M$64:$M$98)</f>
        <v>0</v>
      </c>
      <c r="P188" s="581">
        <f>SUMIF('CF.2'!$H$102:$H$108,'CF.1'!E188,'CF.2'!$J$102:$J$108)+SUMIF('CF.2'!$K$102:$K$108,'CF.1'!E188,'CF.2'!$M$102:$M$108)</f>
        <v>0</v>
      </c>
      <c r="Q188" s="581">
        <f>SUMIF('CF.2'!$H$113:$H$121,'CF.1'!E188,'CF.2'!$J$113:$J$121)+SUMIF('CF.2'!$K$113:$K$121,'CF.1'!E188,'CF.2'!$M$113:$M$121)</f>
        <v>0</v>
      </c>
      <c r="R188" s="582">
        <f t="shared" si="25"/>
        <v>0</v>
      </c>
      <c r="T188" s="584">
        <f t="shared" si="26"/>
        <v>0</v>
      </c>
    </row>
    <row r="189" spans="3:20" ht="18" customHeight="1">
      <c r="C189" s="6">
        <v>1</v>
      </c>
      <c r="D189" s="578" t="s">
        <v>1032</v>
      </c>
      <c r="E189" s="579" t="s">
        <v>1032</v>
      </c>
      <c r="F189" s="580"/>
      <c r="G189" s="579" t="s">
        <v>1033</v>
      </c>
      <c r="H189" s="581">
        <v>0</v>
      </c>
      <c r="I189" s="581">
        <v>0</v>
      </c>
      <c r="J189" s="581">
        <v>0</v>
      </c>
      <c r="K189" s="582">
        <f t="shared" si="24"/>
        <v>0</v>
      </c>
      <c r="M189" s="583">
        <f>SUMIF('CF.2'!$H$5:$H$24,'CF.1'!E189,'CF.2'!$J$5:$J$24)-SUMIF('CF.2'!$K$5:$K$24,'CF.1'!E189,'CF.2'!$M$5:$M$24)</f>
        <v>0</v>
      </c>
      <c r="N189" s="581">
        <f>SUMIF('CF.2'!$H$30:$H$59,'CF.1'!E189,'CF.2'!$J$30:$J$59)+SUMIF('CF.2'!$K$30:$K$59,'CF.1'!E189,'CF.2'!$M$30:$M$59)</f>
        <v>0</v>
      </c>
      <c r="O189" s="581">
        <f>SUMIF('CF.2'!$H$64:$H$98,'CF.1'!E189,'CF.2'!$J$64:$J$98)+SUMIF('CF.2'!$K$64:$K$98,'CF.1'!E189,'CF.2'!$M$64:$M$98)</f>
        <v>0</v>
      </c>
      <c r="P189" s="581">
        <f>SUMIF('CF.2'!$H$102:$H$108,'CF.1'!E189,'CF.2'!$J$102:$J$108)+SUMIF('CF.2'!$K$102:$K$108,'CF.1'!E189,'CF.2'!$M$102:$M$108)</f>
        <v>0</v>
      </c>
      <c r="Q189" s="581">
        <f>SUMIF('CF.2'!$H$113:$H$121,'CF.1'!E189,'CF.2'!$J$113:$J$121)+SUMIF('CF.2'!$K$113:$K$121,'CF.1'!E189,'CF.2'!$M$113:$M$121)</f>
        <v>0</v>
      </c>
      <c r="R189" s="582">
        <f t="shared" si="25"/>
        <v>0</v>
      </c>
      <c r="T189" s="584">
        <f t="shared" si="26"/>
        <v>0</v>
      </c>
    </row>
    <row r="190" spans="3:20" ht="18" customHeight="1">
      <c r="C190" s="6">
        <v>1</v>
      </c>
      <c r="D190" s="578" t="s">
        <v>1034</v>
      </c>
      <c r="E190" s="579" t="s">
        <v>1376</v>
      </c>
      <c r="F190" s="580" t="s">
        <v>1375</v>
      </c>
      <c r="G190" s="579" t="s">
        <v>1375</v>
      </c>
      <c r="H190" s="581">
        <v>1677388000</v>
      </c>
      <c r="I190" s="581">
        <v>0</v>
      </c>
      <c r="J190" s="581">
        <v>0</v>
      </c>
      <c r="K190" s="582">
        <f t="shared" si="24"/>
        <v>1677388000</v>
      </c>
      <c r="M190" s="583">
        <f>SUMIF('CF.2'!$H$5:$H$24,'CF.1'!E190,'CF.2'!$J$5:$J$24)-SUMIF('CF.2'!$K$5:$K$24,'CF.1'!E190,'CF.2'!$M$5:$M$24)</f>
        <v>0</v>
      </c>
      <c r="N190" s="581">
        <f>SUMIF('CF.2'!$H$30:$H$59,'CF.1'!E190,'CF.2'!$J$30:$J$59)+SUMIF('CF.2'!$K$30:$K$59,'CF.1'!E190,'CF.2'!$M$30:$M$59)</f>
        <v>0</v>
      </c>
      <c r="O190" s="581">
        <f>SUMIF('CF.2'!$H$64:$H$98,'CF.1'!E190,'CF.2'!$J$64:$J$98)+SUMIF('CF.2'!$K$64:$K$98,'CF.1'!E190,'CF.2'!$M$64:$M$98)</f>
        <v>0</v>
      </c>
      <c r="P190" s="581">
        <f>SUMIF('CF.2'!$H$102:$H$108,'CF.1'!E190,'CF.2'!$J$102:$J$108)+SUMIF('CF.2'!$K$102:$K$108,'CF.1'!E190,'CF.2'!$M$102:$M$108)</f>
        <v>0</v>
      </c>
      <c r="Q190" s="581">
        <f>SUMIF('CF.2'!$H$113:$H$121,'CF.1'!E190,'CF.2'!$J$113:$J$121)+SUMIF('CF.2'!$K$113:$K$121,'CF.1'!E190,'CF.2'!$M$113:$M$121)</f>
        <v>0</v>
      </c>
      <c r="R190" s="582">
        <f t="shared" si="25"/>
        <v>0</v>
      </c>
      <c r="T190" s="584">
        <f t="shared" si="26"/>
        <v>1677388000</v>
      </c>
    </row>
    <row r="191" spans="3:20" ht="18" customHeight="1">
      <c r="C191" s="6">
        <v>1</v>
      </c>
      <c r="D191" s="578" t="s">
        <v>1034</v>
      </c>
      <c r="E191" s="579" t="s">
        <v>1377</v>
      </c>
      <c r="F191" s="580" t="s">
        <v>1378</v>
      </c>
      <c r="G191" s="579" t="s">
        <v>1378</v>
      </c>
      <c r="H191" s="581">
        <v>5000000</v>
      </c>
      <c r="I191" s="581">
        <v>0</v>
      </c>
      <c r="J191" s="581">
        <v>0</v>
      </c>
      <c r="K191" s="582">
        <f t="shared" si="24"/>
        <v>5000000</v>
      </c>
      <c r="M191" s="583">
        <f>SUMIF('CF.2'!$H$5:$H$24,'CF.1'!E191,'CF.2'!$J$5:$J$24)-SUMIF('CF.2'!$K$5:$K$24,'CF.1'!E191,'CF.2'!$M$5:$M$24)</f>
        <v>0</v>
      </c>
      <c r="N191" s="581">
        <f>SUMIF('CF.2'!$H$30:$H$59,'CF.1'!E191,'CF.2'!$J$30:$J$59)+SUMIF('CF.2'!$K$30:$K$59,'CF.1'!E191,'CF.2'!$M$30:$M$59)</f>
        <v>0</v>
      </c>
      <c r="O191" s="581">
        <f>SUMIF('CF.2'!$H$64:$H$98,'CF.1'!E191,'CF.2'!$J$64:$J$98)+SUMIF('CF.2'!$K$64:$K$98,'CF.1'!E191,'CF.2'!$M$64:$M$98)</f>
        <v>0</v>
      </c>
      <c r="P191" s="581">
        <f>SUMIF('CF.2'!$H$102:$H$108,'CF.1'!E191,'CF.2'!$J$102:$J$108)+SUMIF('CF.2'!$K$102:$K$108,'CF.1'!E191,'CF.2'!$M$102:$M$108)</f>
        <v>0</v>
      </c>
      <c r="Q191" s="581">
        <f>SUMIF('CF.2'!$H$113:$H$121,'CF.1'!E191,'CF.2'!$J$113:$J$121)+SUMIF('CF.2'!$K$113:$K$121,'CF.1'!E191,'CF.2'!$M$113:$M$121)</f>
        <v>0</v>
      </c>
      <c r="R191" s="582">
        <f t="shared" si="25"/>
        <v>0</v>
      </c>
      <c r="T191" s="584">
        <f t="shared" si="26"/>
        <v>5000000</v>
      </c>
    </row>
    <row r="192" spans="3:20" ht="18" customHeight="1">
      <c r="C192" s="6">
        <v>1</v>
      </c>
      <c r="D192" s="578" t="s">
        <v>1036</v>
      </c>
      <c r="E192" s="579" t="s">
        <v>1036</v>
      </c>
      <c r="F192" s="580"/>
      <c r="G192" s="579" t="s">
        <v>1037</v>
      </c>
      <c r="H192" s="581">
        <v>0</v>
      </c>
      <c r="I192" s="581">
        <v>0</v>
      </c>
      <c r="J192" s="581">
        <v>0</v>
      </c>
      <c r="K192" s="582">
        <f t="shared" si="24"/>
        <v>0</v>
      </c>
      <c r="M192" s="583">
        <f>SUMIF('CF.2'!$H$5:$H$24,'CF.1'!E192,'CF.2'!$J$5:$J$24)-SUMIF('CF.2'!$K$5:$K$24,'CF.1'!E192,'CF.2'!$M$5:$M$24)</f>
        <v>0</v>
      </c>
      <c r="N192" s="581">
        <f>SUMIF('CF.2'!$H$30:$H$59,'CF.1'!E192,'CF.2'!$J$30:$J$59)+SUMIF('CF.2'!$K$30:$K$59,'CF.1'!E192,'CF.2'!$M$30:$M$59)</f>
        <v>0</v>
      </c>
      <c r="O192" s="581">
        <f>SUMIF('CF.2'!$H$64:$H$98,'CF.1'!E192,'CF.2'!$J$64:$J$98)+SUMIF('CF.2'!$K$64:$K$98,'CF.1'!E192,'CF.2'!$M$64:$M$98)</f>
        <v>0</v>
      </c>
      <c r="P192" s="581">
        <f>SUMIF('CF.2'!$H$102:$H$108,'CF.1'!E192,'CF.2'!$J$102:$J$108)+SUMIF('CF.2'!$K$102:$K$108,'CF.1'!E192,'CF.2'!$M$102:$M$108)</f>
        <v>0</v>
      </c>
      <c r="Q192" s="581">
        <f>SUMIF('CF.2'!$H$113:$H$121,'CF.1'!E192,'CF.2'!$J$113:$J$121)+SUMIF('CF.2'!$K$113:$K$121,'CF.1'!E192,'CF.2'!$M$113:$M$121)</f>
        <v>0</v>
      </c>
      <c r="R192" s="582">
        <f t="shared" si="25"/>
        <v>0</v>
      </c>
      <c r="T192" s="584">
        <f t="shared" si="26"/>
        <v>0</v>
      </c>
    </row>
    <row r="193" spans="3:20" ht="18" customHeight="1">
      <c r="C193" s="6">
        <v>1</v>
      </c>
      <c r="D193" s="578" t="s">
        <v>1038</v>
      </c>
      <c r="E193" s="579" t="s">
        <v>1038</v>
      </c>
      <c r="F193" s="580"/>
      <c r="G193" s="579" t="s">
        <v>1039</v>
      </c>
      <c r="H193" s="581">
        <v>0</v>
      </c>
      <c r="I193" s="581">
        <v>0</v>
      </c>
      <c r="J193" s="581">
        <v>0</v>
      </c>
      <c r="K193" s="582">
        <f t="shared" si="24"/>
        <v>0</v>
      </c>
      <c r="M193" s="583">
        <f>SUMIF('CF.2'!$H$5:$H$24,'CF.1'!E193,'CF.2'!$J$5:$J$24)-SUMIF('CF.2'!$K$5:$K$24,'CF.1'!E193,'CF.2'!$M$5:$M$24)</f>
        <v>0</v>
      </c>
      <c r="N193" s="581">
        <f>SUMIF('CF.2'!$H$30:$H$59,'CF.1'!E193,'CF.2'!$J$30:$J$59)+SUMIF('CF.2'!$K$30:$K$59,'CF.1'!E193,'CF.2'!$M$30:$M$59)</f>
        <v>0</v>
      </c>
      <c r="O193" s="581">
        <f>SUMIF('CF.2'!$H$64:$H$98,'CF.1'!E193,'CF.2'!$J$64:$J$98)+SUMIF('CF.2'!$K$64:$K$98,'CF.1'!E193,'CF.2'!$M$64:$M$98)</f>
        <v>0</v>
      </c>
      <c r="P193" s="581">
        <f>SUMIF('CF.2'!$H$102:$H$108,'CF.1'!E193,'CF.2'!$J$102:$J$108)+SUMIF('CF.2'!$K$102:$K$108,'CF.1'!E193,'CF.2'!$M$102:$M$108)</f>
        <v>0</v>
      </c>
      <c r="Q193" s="581">
        <f>SUMIF('CF.2'!$H$113:$H$121,'CF.1'!E193,'CF.2'!$J$113:$J$121)+SUMIF('CF.2'!$K$113:$K$121,'CF.1'!E193,'CF.2'!$M$113:$M$121)</f>
        <v>0</v>
      </c>
      <c r="R193" s="582">
        <f t="shared" si="25"/>
        <v>0</v>
      </c>
      <c r="T193" s="584">
        <f t="shared" si="26"/>
        <v>0</v>
      </c>
    </row>
    <row r="194" spans="3:20" ht="18" customHeight="1">
      <c r="C194" s="6">
        <v>1</v>
      </c>
      <c r="D194" s="578" t="s">
        <v>1040</v>
      </c>
      <c r="E194" s="579" t="s">
        <v>1040</v>
      </c>
      <c r="F194" s="580"/>
      <c r="G194" s="579" t="s">
        <v>1041</v>
      </c>
      <c r="H194" s="581">
        <v>0</v>
      </c>
      <c r="I194" s="581">
        <v>0</v>
      </c>
      <c r="J194" s="581">
        <v>0</v>
      </c>
      <c r="K194" s="582">
        <f t="shared" si="24"/>
        <v>0</v>
      </c>
      <c r="M194" s="583">
        <f>SUMIF('CF.2'!$H$5:$H$24,'CF.1'!E194,'CF.2'!$J$5:$J$24)-SUMIF('CF.2'!$K$5:$K$24,'CF.1'!E194,'CF.2'!$M$5:$M$24)</f>
        <v>0</v>
      </c>
      <c r="N194" s="581">
        <f>SUMIF('CF.2'!$H$30:$H$59,'CF.1'!E194,'CF.2'!$J$30:$J$59)+SUMIF('CF.2'!$K$30:$K$59,'CF.1'!E194,'CF.2'!$M$30:$M$59)</f>
        <v>0</v>
      </c>
      <c r="O194" s="581">
        <f>SUMIF('CF.2'!$H$64:$H$98,'CF.1'!E194,'CF.2'!$J$64:$J$98)+SUMIF('CF.2'!$K$64:$K$98,'CF.1'!E194,'CF.2'!$M$64:$M$98)</f>
        <v>0</v>
      </c>
      <c r="P194" s="581">
        <f>SUMIF('CF.2'!$H$102:$H$108,'CF.1'!E194,'CF.2'!$J$102:$J$108)+SUMIF('CF.2'!$K$102:$K$108,'CF.1'!E194,'CF.2'!$M$102:$M$108)</f>
        <v>0</v>
      </c>
      <c r="Q194" s="581">
        <f>SUMIF('CF.2'!$H$113:$H$121,'CF.1'!E194,'CF.2'!$J$113:$J$121)+SUMIF('CF.2'!$K$113:$K$121,'CF.1'!E194,'CF.2'!$M$113:$M$121)</f>
        <v>0</v>
      </c>
      <c r="R194" s="582">
        <f t="shared" si="25"/>
        <v>0</v>
      </c>
      <c r="T194" s="584">
        <f t="shared" si="26"/>
        <v>0</v>
      </c>
    </row>
    <row r="195" spans="3:20" ht="18" customHeight="1">
      <c r="C195" s="6">
        <v>1</v>
      </c>
      <c r="D195" s="578" t="s">
        <v>1042</v>
      </c>
      <c r="E195" s="579" t="s">
        <v>1042</v>
      </c>
      <c r="F195" s="580"/>
      <c r="G195" s="579" t="s">
        <v>1043</v>
      </c>
      <c r="H195" s="581">
        <v>0</v>
      </c>
      <c r="I195" s="581">
        <v>0</v>
      </c>
      <c r="J195" s="581">
        <v>0</v>
      </c>
      <c r="K195" s="582">
        <f t="shared" si="24"/>
        <v>0</v>
      </c>
      <c r="M195" s="583">
        <f>SUMIF('CF.2'!$H$5:$H$24,'CF.1'!E195,'CF.2'!$J$5:$J$24)-SUMIF('CF.2'!$K$5:$K$24,'CF.1'!E195,'CF.2'!$M$5:$M$24)</f>
        <v>0</v>
      </c>
      <c r="N195" s="581">
        <f>SUMIF('CF.2'!$H$30:$H$59,'CF.1'!E195,'CF.2'!$J$30:$J$59)+SUMIF('CF.2'!$K$30:$K$59,'CF.1'!E195,'CF.2'!$M$30:$M$59)</f>
        <v>0</v>
      </c>
      <c r="O195" s="581">
        <f>SUMIF('CF.2'!$H$64:$H$98,'CF.1'!E195,'CF.2'!$J$64:$J$98)+SUMIF('CF.2'!$K$64:$K$98,'CF.1'!E195,'CF.2'!$M$64:$M$98)</f>
        <v>0</v>
      </c>
      <c r="P195" s="581">
        <f>SUMIF('CF.2'!$H$102:$H$108,'CF.1'!E195,'CF.2'!$J$102:$J$108)+SUMIF('CF.2'!$K$102:$K$108,'CF.1'!E195,'CF.2'!$M$102:$M$108)</f>
        <v>0</v>
      </c>
      <c r="Q195" s="581">
        <f>SUMIF('CF.2'!$H$113:$H$121,'CF.1'!E195,'CF.2'!$J$113:$J$121)+SUMIF('CF.2'!$K$113:$K$121,'CF.1'!E195,'CF.2'!$M$113:$M$121)</f>
        <v>0</v>
      </c>
      <c r="R195" s="582">
        <f t="shared" si="25"/>
        <v>0</v>
      </c>
      <c r="T195" s="584">
        <f t="shared" si="26"/>
        <v>0</v>
      </c>
    </row>
    <row r="196" spans="3:20" ht="18" customHeight="1">
      <c r="C196" s="6">
        <v>1</v>
      </c>
      <c r="D196" s="578" t="s">
        <v>1044</v>
      </c>
      <c r="E196" s="579" t="s">
        <v>1044</v>
      </c>
      <c r="F196" s="580"/>
      <c r="G196" s="579" t="s">
        <v>1045</v>
      </c>
      <c r="H196" s="581">
        <v>0</v>
      </c>
      <c r="I196" s="581">
        <v>0</v>
      </c>
      <c r="J196" s="581">
        <v>0</v>
      </c>
      <c r="K196" s="582">
        <f t="shared" si="24"/>
        <v>0</v>
      </c>
      <c r="M196" s="583">
        <f>SUMIF('CF.2'!$H$5:$H$24,'CF.1'!E196,'CF.2'!$J$5:$J$24)-SUMIF('CF.2'!$K$5:$K$24,'CF.1'!E196,'CF.2'!$M$5:$M$24)</f>
        <v>0</v>
      </c>
      <c r="N196" s="581">
        <f>SUMIF('CF.2'!$H$30:$H$59,'CF.1'!E196,'CF.2'!$J$30:$J$59)+SUMIF('CF.2'!$K$30:$K$59,'CF.1'!E196,'CF.2'!$M$30:$M$59)</f>
        <v>0</v>
      </c>
      <c r="O196" s="581">
        <f>SUMIF('CF.2'!$H$64:$H$98,'CF.1'!E196,'CF.2'!$J$64:$J$98)+SUMIF('CF.2'!$K$64:$K$98,'CF.1'!E196,'CF.2'!$M$64:$M$98)</f>
        <v>0</v>
      </c>
      <c r="P196" s="581">
        <f>SUMIF('CF.2'!$H$102:$H$108,'CF.1'!E196,'CF.2'!$J$102:$J$108)+SUMIF('CF.2'!$K$102:$K$108,'CF.1'!E196,'CF.2'!$M$102:$M$108)</f>
        <v>0</v>
      </c>
      <c r="Q196" s="581">
        <f>SUMIF('CF.2'!$H$113:$H$121,'CF.1'!E196,'CF.2'!$J$113:$J$121)+SUMIF('CF.2'!$K$113:$K$121,'CF.1'!E196,'CF.2'!$M$113:$M$121)</f>
        <v>0</v>
      </c>
      <c r="R196" s="582">
        <f t="shared" si="25"/>
        <v>0</v>
      </c>
      <c r="T196" s="584">
        <f t="shared" si="26"/>
        <v>0</v>
      </c>
    </row>
    <row r="197" spans="3:20" ht="18" customHeight="1">
      <c r="C197" s="6">
        <v>1</v>
      </c>
      <c r="D197" s="578" t="s">
        <v>1046</v>
      </c>
      <c r="E197" s="579" t="s">
        <v>1046</v>
      </c>
      <c r="F197" s="580"/>
      <c r="G197" s="579" t="s">
        <v>1047</v>
      </c>
      <c r="H197" s="581">
        <v>0</v>
      </c>
      <c r="I197" s="581">
        <v>0</v>
      </c>
      <c r="J197" s="581">
        <v>0</v>
      </c>
      <c r="K197" s="582">
        <f t="shared" si="24"/>
        <v>0</v>
      </c>
      <c r="M197" s="583">
        <f>SUMIF('CF.2'!$H$5:$H$24,'CF.1'!E197,'CF.2'!$J$5:$J$24)-SUMIF('CF.2'!$K$5:$K$24,'CF.1'!E197,'CF.2'!$M$5:$M$24)</f>
        <v>0</v>
      </c>
      <c r="N197" s="581">
        <f>SUMIF('CF.2'!$H$30:$H$59,'CF.1'!E197,'CF.2'!$J$30:$J$59)+SUMIF('CF.2'!$K$30:$K$59,'CF.1'!E197,'CF.2'!$M$30:$M$59)</f>
        <v>0</v>
      </c>
      <c r="O197" s="581">
        <f>SUMIF('CF.2'!$H$64:$H$98,'CF.1'!E197,'CF.2'!$J$64:$J$98)+SUMIF('CF.2'!$K$64:$K$98,'CF.1'!E197,'CF.2'!$M$64:$M$98)</f>
        <v>0</v>
      </c>
      <c r="P197" s="581">
        <f>SUMIF('CF.2'!$H$102:$H$108,'CF.1'!E197,'CF.2'!$J$102:$J$108)+SUMIF('CF.2'!$K$102:$K$108,'CF.1'!E197,'CF.2'!$M$102:$M$108)</f>
        <v>0</v>
      </c>
      <c r="Q197" s="581">
        <f>SUMIF('CF.2'!$H$113:$H$121,'CF.1'!E197,'CF.2'!$J$113:$J$121)+SUMIF('CF.2'!$K$113:$K$121,'CF.1'!E197,'CF.2'!$M$113:$M$121)</f>
        <v>0</v>
      </c>
      <c r="R197" s="582">
        <f t="shared" si="25"/>
        <v>0</v>
      </c>
      <c r="T197" s="584">
        <f t="shared" si="26"/>
        <v>0</v>
      </c>
    </row>
    <row r="198" spans="3:20" ht="18" customHeight="1">
      <c r="C198" s="6">
        <v>1</v>
      </c>
      <c r="D198" s="578" t="s">
        <v>1048</v>
      </c>
      <c r="E198" s="579" t="s">
        <v>1048</v>
      </c>
      <c r="F198" s="580" t="s">
        <v>1839</v>
      </c>
      <c r="G198" s="579" t="s">
        <v>1049</v>
      </c>
      <c r="H198" s="581">
        <v>0</v>
      </c>
      <c r="I198" s="581">
        <v>0</v>
      </c>
      <c r="J198" s="581">
        <v>0</v>
      </c>
      <c r="K198" s="582">
        <f t="shared" si="24"/>
        <v>0</v>
      </c>
      <c r="M198" s="583">
        <f>SUMIF('CF.2'!$H$5:$H$24,'CF.1'!E198,'CF.2'!$J$5:$J$24)-SUMIF('CF.2'!$K$5:$K$24,'CF.1'!E198,'CF.2'!$M$5:$M$24)</f>
        <v>0</v>
      </c>
      <c r="N198" s="581">
        <f>SUMIF('CF.2'!$H$30:$H$59,'CF.1'!E198,'CF.2'!$J$30:$J$59)+SUMIF('CF.2'!$K$30:$K$59,'CF.1'!E198,'CF.2'!$M$30:$M$59)</f>
        <v>0</v>
      </c>
      <c r="O198" s="581">
        <f>SUMIF('CF.2'!$H$64:$H$98,'CF.1'!E198,'CF.2'!$J$64:$J$98)+SUMIF('CF.2'!$K$64:$K$98,'CF.1'!E198,'CF.2'!$M$64:$M$98)</f>
        <v>0</v>
      </c>
      <c r="P198" s="581">
        <f>SUMIF('CF.2'!$H$102:$H$108,'CF.1'!E198,'CF.2'!$J$102:$J$108)+SUMIF('CF.2'!$K$102:$K$108,'CF.1'!E198,'CF.2'!$M$102:$M$108)</f>
        <v>0</v>
      </c>
      <c r="Q198" s="581">
        <f>SUMIF('CF.2'!$H$113:$H$121,'CF.1'!E198,'CF.2'!$J$113:$J$121)+SUMIF('CF.2'!$K$113:$K$121,'CF.1'!E198,'CF.2'!$M$113:$M$121)</f>
        <v>0</v>
      </c>
      <c r="R198" s="582">
        <f t="shared" si="25"/>
        <v>0</v>
      </c>
      <c r="T198" s="584">
        <f t="shared" si="26"/>
        <v>0</v>
      </c>
    </row>
    <row r="199" spans="3:20" ht="18" customHeight="1">
      <c r="C199" s="6">
        <v>1</v>
      </c>
      <c r="D199" s="578" t="s">
        <v>1050</v>
      </c>
      <c r="E199" s="579" t="s">
        <v>1050</v>
      </c>
      <c r="F199" s="580" t="s">
        <v>1839</v>
      </c>
      <c r="G199" s="579" t="s">
        <v>1051</v>
      </c>
      <c r="H199" s="581">
        <v>0</v>
      </c>
      <c r="I199" s="581">
        <v>0</v>
      </c>
      <c r="J199" s="581">
        <v>0</v>
      </c>
      <c r="K199" s="582">
        <f t="shared" si="24"/>
        <v>0</v>
      </c>
      <c r="M199" s="583">
        <f>SUMIF('CF.2'!$H$5:$H$24,'CF.1'!E199,'CF.2'!$J$5:$J$24)-SUMIF('CF.2'!$K$5:$K$24,'CF.1'!E199,'CF.2'!$M$5:$M$24)</f>
        <v>0</v>
      </c>
      <c r="N199" s="581">
        <f>SUMIF('CF.2'!$H$30:$H$59,'CF.1'!E199,'CF.2'!$J$30:$J$59)+SUMIF('CF.2'!$K$30:$K$59,'CF.1'!E199,'CF.2'!$M$30:$M$59)</f>
        <v>0</v>
      </c>
      <c r="O199" s="581">
        <f>SUMIF('CF.2'!$H$64:$H$98,'CF.1'!E199,'CF.2'!$J$64:$J$98)+SUMIF('CF.2'!$K$64:$K$98,'CF.1'!E199,'CF.2'!$M$64:$M$98)</f>
        <v>0</v>
      </c>
      <c r="P199" s="581">
        <f>SUMIF('CF.2'!$H$102:$H$108,'CF.1'!E199,'CF.2'!$J$102:$J$108)+SUMIF('CF.2'!$K$102:$K$108,'CF.1'!E199,'CF.2'!$M$102:$M$108)</f>
        <v>0</v>
      </c>
      <c r="Q199" s="581">
        <f>SUMIF('CF.2'!$H$113:$H$121,'CF.1'!E199,'CF.2'!$J$113:$J$121)+SUMIF('CF.2'!$K$113:$K$121,'CF.1'!E199,'CF.2'!$M$113:$M$121)</f>
        <v>0</v>
      </c>
      <c r="R199" s="582">
        <f t="shared" si="25"/>
        <v>0</v>
      </c>
      <c r="T199" s="584">
        <f t="shared" si="26"/>
        <v>0</v>
      </c>
    </row>
    <row r="200" spans="3:20" ht="18" customHeight="1">
      <c r="C200" s="6">
        <v>1</v>
      </c>
      <c r="D200" s="578" t="s">
        <v>1052</v>
      </c>
      <c r="E200" s="579" t="s">
        <v>1052</v>
      </c>
      <c r="F200" s="580"/>
      <c r="G200" s="579" t="s">
        <v>1053</v>
      </c>
      <c r="H200" s="581">
        <v>0</v>
      </c>
      <c r="I200" s="581">
        <v>0</v>
      </c>
      <c r="J200" s="581">
        <v>0</v>
      </c>
      <c r="K200" s="582">
        <f t="shared" si="24"/>
        <v>0</v>
      </c>
      <c r="M200" s="583">
        <f>SUMIF('CF.2'!$H$5:$H$24,'CF.1'!E200,'CF.2'!$J$5:$J$24)-SUMIF('CF.2'!$K$5:$K$24,'CF.1'!E200,'CF.2'!$M$5:$M$24)</f>
        <v>0</v>
      </c>
      <c r="N200" s="581">
        <f>SUMIF('CF.2'!$H$30:$H$59,'CF.1'!E200,'CF.2'!$J$30:$J$59)+SUMIF('CF.2'!$K$30:$K$59,'CF.1'!E200,'CF.2'!$M$30:$M$59)</f>
        <v>0</v>
      </c>
      <c r="O200" s="581">
        <f>SUMIF('CF.2'!$H$64:$H$98,'CF.1'!E200,'CF.2'!$J$64:$J$98)+SUMIF('CF.2'!$K$64:$K$98,'CF.1'!E200,'CF.2'!$M$64:$M$98)</f>
        <v>0</v>
      </c>
      <c r="P200" s="581">
        <f>SUMIF('CF.2'!$H$102:$H$108,'CF.1'!E200,'CF.2'!$J$102:$J$108)+SUMIF('CF.2'!$K$102:$K$108,'CF.1'!E200,'CF.2'!$M$102:$M$108)</f>
        <v>0</v>
      </c>
      <c r="Q200" s="581">
        <f>SUMIF('CF.2'!$H$113:$H$121,'CF.1'!E200,'CF.2'!$J$113:$J$121)+SUMIF('CF.2'!$K$113:$K$121,'CF.1'!E200,'CF.2'!$M$113:$M$121)</f>
        <v>0</v>
      </c>
      <c r="R200" s="582">
        <f t="shared" si="25"/>
        <v>0</v>
      </c>
      <c r="T200" s="584">
        <f t="shared" si="26"/>
        <v>0</v>
      </c>
    </row>
    <row r="201" spans="3:20" ht="18" customHeight="1">
      <c r="C201" s="6">
        <v>1</v>
      </c>
      <c r="D201" s="578" t="s">
        <v>1054</v>
      </c>
      <c r="E201" s="579" t="s">
        <v>1054</v>
      </c>
      <c r="F201" s="580"/>
      <c r="G201" s="579" t="s">
        <v>1055</v>
      </c>
      <c r="H201" s="581">
        <v>0</v>
      </c>
      <c r="I201" s="581">
        <v>0</v>
      </c>
      <c r="J201" s="581">
        <v>0</v>
      </c>
      <c r="K201" s="582">
        <f t="shared" si="24"/>
        <v>0</v>
      </c>
      <c r="M201" s="583">
        <f>SUMIF('CF.2'!$H$5:$H$24,'CF.1'!E201,'CF.2'!$J$5:$J$24)-SUMIF('CF.2'!$K$5:$K$24,'CF.1'!E201,'CF.2'!$M$5:$M$24)</f>
        <v>0</v>
      </c>
      <c r="N201" s="581">
        <f>SUMIF('CF.2'!$H$30:$H$59,'CF.1'!E201,'CF.2'!$J$30:$J$59)+SUMIF('CF.2'!$K$30:$K$59,'CF.1'!E201,'CF.2'!$M$30:$M$59)</f>
        <v>0</v>
      </c>
      <c r="O201" s="581">
        <f>SUMIF('CF.2'!$H$64:$H$98,'CF.1'!E201,'CF.2'!$J$64:$J$98)+SUMIF('CF.2'!$K$64:$K$98,'CF.1'!E201,'CF.2'!$M$64:$M$98)</f>
        <v>0</v>
      </c>
      <c r="P201" s="581">
        <f>SUMIF('CF.2'!$H$102:$H$108,'CF.1'!E201,'CF.2'!$J$102:$J$108)+SUMIF('CF.2'!$K$102:$K$108,'CF.1'!E201,'CF.2'!$M$102:$M$108)</f>
        <v>0</v>
      </c>
      <c r="Q201" s="581">
        <f>SUMIF('CF.2'!$H$113:$H$121,'CF.1'!E201,'CF.2'!$J$113:$J$121)+SUMIF('CF.2'!$K$113:$K$121,'CF.1'!E201,'CF.2'!$M$113:$M$121)</f>
        <v>0</v>
      </c>
      <c r="R201" s="582">
        <f t="shared" si="25"/>
        <v>0</v>
      </c>
      <c r="T201" s="584">
        <f t="shared" si="26"/>
        <v>0</v>
      </c>
    </row>
    <row r="202" spans="3:20" ht="18" customHeight="1">
      <c r="C202" s="6">
        <v>1</v>
      </c>
      <c r="D202" s="578" t="s">
        <v>1056</v>
      </c>
      <c r="E202" s="579" t="s">
        <v>1056</v>
      </c>
      <c r="F202" s="580"/>
      <c r="G202" s="579" t="s">
        <v>1057</v>
      </c>
      <c r="H202" s="581">
        <v>0</v>
      </c>
      <c r="I202" s="581">
        <v>0</v>
      </c>
      <c r="J202" s="581">
        <v>0</v>
      </c>
      <c r="K202" s="582">
        <f t="shared" si="24"/>
        <v>0</v>
      </c>
      <c r="M202" s="583">
        <f>SUMIF('CF.2'!$H$5:$H$24,'CF.1'!E202,'CF.2'!$J$5:$J$24)-SUMIF('CF.2'!$K$5:$K$24,'CF.1'!E202,'CF.2'!$M$5:$M$24)</f>
        <v>0</v>
      </c>
      <c r="N202" s="581">
        <f>SUMIF('CF.2'!$H$30:$H$59,'CF.1'!E202,'CF.2'!$J$30:$J$59)+SUMIF('CF.2'!$K$30:$K$59,'CF.1'!E202,'CF.2'!$M$30:$M$59)</f>
        <v>0</v>
      </c>
      <c r="O202" s="581">
        <f>SUMIF('CF.2'!$H$64:$H$98,'CF.1'!E202,'CF.2'!$J$64:$J$98)+SUMIF('CF.2'!$K$64:$K$98,'CF.1'!E202,'CF.2'!$M$64:$M$98)</f>
        <v>0</v>
      </c>
      <c r="P202" s="581">
        <f>SUMIF('CF.2'!$H$102:$H$108,'CF.1'!E202,'CF.2'!$J$102:$J$108)+SUMIF('CF.2'!$K$102:$K$108,'CF.1'!E202,'CF.2'!$M$102:$M$108)</f>
        <v>0</v>
      </c>
      <c r="Q202" s="581">
        <f>SUMIF('CF.2'!$H$113:$H$121,'CF.1'!E202,'CF.2'!$J$113:$J$121)+SUMIF('CF.2'!$K$113:$K$121,'CF.1'!E202,'CF.2'!$M$113:$M$121)</f>
        <v>0</v>
      </c>
      <c r="R202" s="582">
        <f t="shared" si="25"/>
        <v>0</v>
      </c>
      <c r="T202" s="584">
        <f t="shared" si="26"/>
        <v>0</v>
      </c>
    </row>
    <row r="203" spans="3:20" ht="18" customHeight="1">
      <c r="C203" s="6">
        <v>1</v>
      </c>
      <c r="D203" s="578" t="s">
        <v>1058</v>
      </c>
      <c r="E203" s="579" t="s">
        <v>1058</v>
      </c>
      <c r="F203" s="580"/>
      <c r="G203" s="579" t="s">
        <v>1059</v>
      </c>
      <c r="H203" s="581">
        <v>0</v>
      </c>
      <c r="I203" s="581">
        <v>0</v>
      </c>
      <c r="J203" s="581">
        <v>0</v>
      </c>
      <c r="K203" s="582">
        <f t="shared" si="24"/>
        <v>0</v>
      </c>
      <c r="M203" s="583">
        <f>SUMIF('CF.2'!$H$5:$H$24,'CF.1'!E203,'CF.2'!$J$5:$J$24)-SUMIF('CF.2'!$K$5:$K$24,'CF.1'!E203,'CF.2'!$M$5:$M$24)</f>
        <v>0</v>
      </c>
      <c r="N203" s="581">
        <f>SUMIF('CF.2'!$H$30:$H$59,'CF.1'!E203,'CF.2'!$J$30:$J$59)+SUMIF('CF.2'!$K$30:$K$59,'CF.1'!E203,'CF.2'!$M$30:$M$59)</f>
        <v>0</v>
      </c>
      <c r="O203" s="581">
        <f>SUMIF('CF.2'!$H$64:$H$98,'CF.1'!E203,'CF.2'!$J$64:$J$98)+SUMIF('CF.2'!$K$64:$K$98,'CF.1'!E203,'CF.2'!$M$64:$M$98)</f>
        <v>0</v>
      </c>
      <c r="P203" s="581">
        <f>SUMIF('CF.2'!$H$102:$H$108,'CF.1'!E203,'CF.2'!$J$102:$J$108)+SUMIF('CF.2'!$K$102:$K$108,'CF.1'!E203,'CF.2'!$M$102:$M$108)</f>
        <v>0</v>
      </c>
      <c r="Q203" s="581">
        <f>SUMIF('CF.2'!$H$113:$H$121,'CF.1'!E203,'CF.2'!$J$113:$J$121)+SUMIF('CF.2'!$K$113:$K$121,'CF.1'!E203,'CF.2'!$M$113:$M$121)</f>
        <v>0</v>
      </c>
      <c r="R203" s="582">
        <f t="shared" si="25"/>
        <v>0</v>
      </c>
      <c r="T203" s="584">
        <f t="shared" si="26"/>
        <v>0</v>
      </c>
    </row>
    <row r="204" spans="3:20" ht="18" customHeight="1">
      <c r="C204" s="6">
        <v>1</v>
      </c>
      <c r="D204" s="578" t="s">
        <v>1060</v>
      </c>
      <c r="E204" s="579" t="s">
        <v>1060</v>
      </c>
      <c r="F204" s="580"/>
      <c r="G204" s="579" t="s">
        <v>1061</v>
      </c>
      <c r="H204" s="581">
        <v>0</v>
      </c>
      <c r="I204" s="581">
        <v>0</v>
      </c>
      <c r="J204" s="581">
        <v>0</v>
      </c>
      <c r="K204" s="582">
        <f t="shared" si="24"/>
        <v>0</v>
      </c>
      <c r="M204" s="583">
        <f>SUMIF('CF.2'!$H$5:$H$24,'CF.1'!E204,'CF.2'!$J$5:$J$24)-SUMIF('CF.2'!$K$5:$K$24,'CF.1'!E204,'CF.2'!$M$5:$M$24)</f>
        <v>0</v>
      </c>
      <c r="N204" s="581">
        <f>SUMIF('CF.2'!$H$30:$H$59,'CF.1'!E204,'CF.2'!$J$30:$J$59)+SUMIF('CF.2'!$K$30:$K$59,'CF.1'!E204,'CF.2'!$M$30:$M$59)</f>
        <v>0</v>
      </c>
      <c r="O204" s="581">
        <f>SUMIF('CF.2'!$H$64:$H$98,'CF.1'!E204,'CF.2'!$J$64:$J$98)+SUMIF('CF.2'!$K$64:$K$98,'CF.1'!E204,'CF.2'!$M$64:$M$98)</f>
        <v>0</v>
      </c>
      <c r="P204" s="581">
        <f>SUMIF('CF.2'!$H$102:$H$108,'CF.1'!E204,'CF.2'!$J$102:$J$108)+SUMIF('CF.2'!$K$102:$K$108,'CF.1'!E204,'CF.2'!$M$102:$M$108)</f>
        <v>0</v>
      </c>
      <c r="Q204" s="581">
        <f>SUMIF('CF.2'!$H$113:$H$121,'CF.1'!E204,'CF.2'!$J$113:$J$121)+SUMIF('CF.2'!$K$113:$K$121,'CF.1'!E204,'CF.2'!$M$113:$M$121)</f>
        <v>0</v>
      </c>
      <c r="R204" s="582">
        <f t="shared" si="25"/>
        <v>0</v>
      </c>
      <c r="T204" s="584">
        <f t="shared" si="26"/>
        <v>0</v>
      </c>
    </row>
    <row r="205" spans="3:20" ht="18" customHeight="1">
      <c r="C205" s="6">
        <v>1</v>
      </c>
      <c r="D205" s="578" t="s">
        <v>1062</v>
      </c>
      <c r="E205" s="579" t="s">
        <v>1062</v>
      </c>
      <c r="F205" s="580"/>
      <c r="G205" s="579" t="s">
        <v>1063</v>
      </c>
      <c r="H205" s="581">
        <v>0</v>
      </c>
      <c r="I205" s="581">
        <v>0</v>
      </c>
      <c r="J205" s="581">
        <v>0</v>
      </c>
      <c r="K205" s="582">
        <f t="shared" si="24"/>
        <v>0</v>
      </c>
      <c r="M205" s="583">
        <f>SUMIF('CF.2'!$H$5:$H$24,'CF.1'!E205,'CF.2'!$J$5:$J$24)-SUMIF('CF.2'!$K$5:$K$24,'CF.1'!E205,'CF.2'!$M$5:$M$24)</f>
        <v>0</v>
      </c>
      <c r="N205" s="581">
        <f>SUMIF('CF.2'!$H$30:$H$59,'CF.1'!E205,'CF.2'!$J$30:$J$59)+SUMIF('CF.2'!$K$30:$K$59,'CF.1'!E205,'CF.2'!$M$30:$M$59)</f>
        <v>0</v>
      </c>
      <c r="O205" s="581">
        <f>SUMIF('CF.2'!$H$64:$H$98,'CF.1'!E205,'CF.2'!$J$64:$J$98)+SUMIF('CF.2'!$K$64:$K$98,'CF.1'!E205,'CF.2'!$M$64:$M$98)</f>
        <v>0</v>
      </c>
      <c r="P205" s="581">
        <f>SUMIF('CF.2'!$H$102:$H$108,'CF.1'!E205,'CF.2'!$J$102:$J$108)+SUMIF('CF.2'!$K$102:$K$108,'CF.1'!E205,'CF.2'!$M$102:$M$108)</f>
        <v>0</v>
      </c>
      <c r="Q205" s="581">
        <f>SUMIF('CF.2'!$H$113:$H$121,'CF.1'!E205,'CF.2'!$J$113:$J$121)+SUMIF('CF.2'!$K$113:$K$121,'CF.1'!E205,'CF.2'!$M$113:$M$121)</f>
        <v>0</v>
      </c>
      <c r="R205" s="582">
        <f t="shared" si="25"/>
        <v>0</v>
      </c>
      <c r="T205" s="584">
        <f t="shared" si="26"/>
        <v>0</v>
      </c>
    </row>
    <row r="206" spans="3:20" ht="18" customHeight="1">
      <c r="C206" s="6">
        <v>1</v>
      </c>
      <c r="D206" s="578" t="s">
        <v>1064</v>
      </c>
      <c r="E206" s="579" t="s">
        <v>1064</v>
      </c>
      <c r="F206" s="580"/>
      <c r="G206" s="579" t="s">
        <v>1065</v>
      </c>
      <c r="H206" s="581">
        <v>0</v>
      </c>
      <c r="I206" s="581">
        <v>0</v>
      </c>
      <c r="J206" s="581">
        <v>0</v>
      </c>
      <c r="K206" s="582">
        <f t="shared" si="24"/>
        <v>0</v>
      </c>
      <c r="M206" s="583">
        <f>SUMIF('CF.2'!$H$5:$H$24,'CF.1'!E206,'CF.2'!$J$5:$J$24)-SUMIF('CF.2'!$K$5:$K$24,'CF.1'!E206,'CF.2'!$M$5:$M$24)</f>
        <v>0</v>
      </c>
      <c r="N206" s="581">
        <f>SUMIF('CF.2'!$H$30:$H$59,'CF.1'!E206,'CF.2'!$J$30:$J$59)+SUMIF('CF.2'!$K$30:$K$59,'CF.1'!E206,'CF.2'!$M$30:$M$59)</f>
        <v>0</v>
      </c>
      <c r="O206" s="581">
        <f>SUMIF('CF.2'!$H$64:$H$98,'CF.1'!E206,'CF.2'!$J$64:$J$98)+SUMIF('CF.2'!$K$64:$K$98,'CF.1'!E206,'CF.2'!$M$64:$M$98)</f>
        <v>0</v>
      </c>
      <c r="P206" s="581">
        <f>SUMIF('CF.2'!$H$102:$H$108,'CF.1'!E206,'CF.2'!$J$102:$J$108)+SUMIF('CF.2'!$K$102:$K$108,'CF.1'!E206,'CF.2'!$M$102:$M$108)</f>
        <v>0</v>
      </c>
      <c r="Q206" s="581">
        <f>SUMIF('CF.2'!$H$113:$H$121,'CF.1'!E206,'CF.2'!$J$113:$J$121)+SUMIF('CF.2'!$K$113:$K$121,'CF.1'!E206,'CF.2'!$M$113:$M$121)</f>
        <v>0</v>
      </c>
      <c r="R206" s="582">
        <f t="shared" si="25"/>
        <v>0</v>
      </c>
      <c r="T206" s="584">
        <f t="shared" si="26"/>
        <v>0</v>
      </c>
    </row>
    <row r="207" spans="3:20" ht="18" customHeight="1">
      <c r="C207" s="6">
        <v>1</v>
      </c>
      <c r="D207" s="578" t="s">
        <v>1066</v>
      </c>
      <c r="E207" s="579" t="s">
        <v>1066</v>
      </c>
      <c r="F207" s="580"/>
      <c r="G207" s="579" t="s">
        <v>1067</v>
      </c>
      <c r="H207" s="581">
        <v>0</v>
      </c>
      <c r="I207" s="581">
        <v>0</v>
      </c>
      <c r="J207" s="581">
        <v>0</v>
      </c>
      <c r="K207" s="582">
        <f t="shared" si="24"/>
        <v>0</v>
      </c>
      <c r="M207" s="583">
        <f>SUMIF('CF.2'!$H$5:$H$24,'CF.1'!E207,'CF.2'!$J$5:$J$24)-SUMIF('CF.2'!$K$5:$K$24,'CF.1'!E207,'CF.2'!$M$5:$M$24)</f>
        <v>0</v>
      </c>
      <c r="N207" s="581">
        <f>SUMIF('CF.2'!$H$30:$H$59,'CF.1'!E207,'CF.2'!$J$30:$J$59)+SUMIF('CF.2'!$K$30:$K$59,'CF.1'!E207,'CF.2'!$M$30:$M$59)</f>
        <v>0</v>
      </c>
      <c r="O207" s="581">
        <f>SUMIF('CF.2'!$H$64:$H$98,'CF.1'!E207,'CF.2'!$J$64:$J$98)+SUMIF('CF.2'!$K$64:$K$98,'CF.1'!E207,'CF.2'!$M$64:$M$98)</f>
        <v>0</v>
      </c>
      <c r="P207" s="581">
        <f>SUMIF('CF.2'!$H$102:$H$108,'CF.1'!E207,'CF.2'!$J$102:$J$108)+SUMIF('CF.2'!$K$102:$K$108,'CF.1'!E207,'CF.2'!$M$102:$M$108)</f>
        <v>0</v>
      </c>
      <c r="Q207" s="581">
        <f>SUMIF('CF.2'!$H$113:$H$121,'CF.1'!E207,'CF.2'!$J$113:$J$121)+SUMIF('CF.2'!$K$113:$K$121,'CF.1'!E207,'CF.2'!$M$113:$M$121)</f>
        <v>0</v>
      </c>
      <c r="R207" s="582">
        <f t="shared" si="25"/>
        <v>0</v>
      </c>
      <c r="T207" s="584">
        <f t="shared" si="26"/>
        <v>0</v>
      </c>
    </row>
    <row r="208" spans="3:20" ht="18" customHeight="1">
      <c r="C208" s="6">
        <v>1</v>
      </c>
      <c r="D208" s="578" t="s">
        <v>1068</v>
      </c>
      <c r="E208" s="579" t="s">
        <v>1068</v>
      </c>
      <c r="F208" s="580"/>
      <c r="G208" s="579" t="s">
        <v>1069</v>
      </c>
      <c r="H208" s="581">
        <v>0</v>
      </c>
      <c r="I208" s="581">
        <v>0</v>
      </c>
      <c r="J208" s="581">
        <v>0</v>
      </c>
      <c r="K208" s="582">
        <f t="shared" si="24"/>
        <v>0</v>
      </c>
      <c r="M208" s="583">
        <f>SUMIF('CF.2'!$H$5:$H$24,'CF.1'!E208,'CF.2'!$J$5:$J$24)-SUMIF('CF.2'!$K$5:$K$24,'CF.1'!E208,'CF.2'!$M$5:$M$24)</f>
        <v>0</v>
      </c>
      <c r="N208" s="581">
        <f>SUMIF('CF.2'!$H$30:$H$59,'CF.1'!E208,'CF.2'!$J$30:$J$59)+SUMIF('CF.2'!$K$30:$K$59,'CF.1'!E208,'CF.2'!$M$30:$M$59)</f>
        <v>0</v>
      </c>
      <c r="O208" s="581">
        <f>SUMIF('CF.2'!$H$64:$H$98,'CF.1'!E208,'CF.2'!$J$64:$J$98)+SUMIF('CF.2'!$K$64:$K$98,'CF.1'!E208,'CF.2'!$M$64:$M$98)</f>
        <v>0</v>
      </c>
      <c r="P208" s="581">
        <f>SUMIF('CF.2'!$H$102:$H$108,'CF.1'!E208,'CF.2'!$J$102:$J$108)+SUMIF('CF.2'!$K$102:$K$108,'CF.1'!E208,'CF.2'!$M$102:$M$108)</f>
        <v>0</v>
      </c>
      <c r="Q208" s="581">
        <f>SUMIF('CF.2'!$H$113:$H$121,'CF.1'!E208,'CF.2'!$J$113:$J$121)+SUMIF('CF.2'!$K$113:$K$121,'CF.1'!E208,'CF.2'!$M$113:$M$121)</f>
        <v>0</v>
      </c>
      <c r="R208" s="582">
        <f t="shared" si="25"/>
        <v>0</v>
      </c>
      <c r="T208" s="584">
        <f t="shared" si="26"/>
        <v>0</v>
      </c>
    </row>
    <row r="209" spans="3:20" ht="18" customHeight="1">
      <c r="C209" s="6">
        <v>1</v>
      </c>
      <c r="D209" s="578" t="s">
        <v>1070</v>
      </c>
      <c r="E209" s="579" t="s">
        <v>1070</v>
      </c>
      <c r="F209" s="580"/>
      <c r="G209" s="579" t="s">
        <v>1071</v>
      </c>
      <c r="H209" s="581">
        <v>0</v>
      </c>
      <c r="I209" s="581">
        <v>0</v>
      </c>
      <c r="J209" s="581">
        <v>0</v>
      </c>
      <c r="K209" s="582">
        <f t="shared" si="24"/>
        <v>0</v>
      </c>
      <c r="M209" s="583">
        <f>SUMIF('CF.2'!$H$5:$H$24,'CF.1'!E209,'CF.2'!$J$5:$J$24)-SUMIF('CF.2'!$K$5:$K$24,'CF.1'!E209,'CF.2'!$M$5:$M$24)</f>
        <v>0</v>
      </c>
      <c r="N209" s="581">
        <f>SUMIF('CF.2'!$H$30:$H$59,'CF.1'!E209,'CF.2'!$J$30:$J$59)+SUMIF('CF.2'!$K$30:$K$59,'CF.1'!E209,'CF.2'!$M$30:$M$59)</f>
        <v>0</v>
      </c>
      <c r="O209" s="581">
        <f>SUMIF('CF.2'!$H$64:$H$98,'CF.1'!E209,'CF.2'!$J$64:$J$98)+SUMIF('CF.2'!$K$64:$K$98,'CF.1'!E209,'CF.2'!$M$64:$M$98)</f>
        <v>0</v>
      </c>
      <c r="P209" s="581">
        <f>SUMIF('CF.2'!$H$102:$H$108,'CF.1'!E209,'CF.2'!$J$102:$J$108)+SUMIF('CF.2'!$K$102:$K$108,'CF.1'!E209,'CF.2'!$M$102:$M$108)</f>
        <v>0</v>
      </c>
      <c r="Q209" s="581">
        <f>SUMIF('CF.2'!$H$113:$H$121,'CF.1'!E209,'CF.2'!$J$113:$J$121)+SUMIF('CF.2'!$K$113:$K$121,'CF.1'!E209,'CF.2'!$M$113:$M$121)</f>
        <v>0</v>
      </c>
      <c r="R209" s="582">
        <f t="shared" si="25"/>
        <v>0</v>
      </c>
      <c r="T209" s="584">
        <f t="shared" si="26"/>
        <v>0</v>
      </c>
    </row>
    <row r="210" spans="3:20" ht="18" customHeight="1">
      <c r="C210" s="6">
        <v>1</v>
      </c>
      <c r="D210" s="578" t="s">
        <v>1072</v>
      </c>
      <c r="E210" s="579" t="s">
        <v>1072</v>
      </c>
      <c r="F210" s="580"/>
      <c r="G210" s="579" t="s">
        <v>1073</v>
      </c>
      <c r="H210" s="581">
        <v>0</v>
      </c>
      <c r="I210" s="581">
        <v>0</v>
      </c>
      <c r="J210" s="581">
        <v>0</v>
      </c>
      <c r="K210" s="582">
        <f t="shared" si="24"/>
        <v>0</v>
      </c>
      <c r="M210" s="583">
        <f>SUMIF('CF.2'!$H$5:$H$24,'CF.1'!E210,'CF.2'!$J$5:$J$24)-SUMIF('CF.2'!$K$5:$K$24,'CF.1'!E210,'CF.2'!$M$5:$M$24)</f>
        <v>0</v>
      </c>
      <c r="N210" s="581">
        <f>SUMIF('CF.2'!$H$30:$H$59,'CF.1'!E210,'CF.2'!$J$30:$J$59)+SUMIF('CF.2'!$K$30:$K$59,'CF.1'!E210,'CF.2'!$M$30:$M$59)</f>
        <v>0</v>
      </c>
      <c r="O210" s="581">
        <f>SUMIF('CF.2'!$H$64:$H$98,'CF.1'!E210,'CF.2'!$J$64:$J$98)+SUMIF('CF.2'!$K$64:$K$98,'CF.1'!E210,'CF.2'!$M$64:$M$98)</f>
        <v>0</v>
      </c>
      <c r="P210" s="581">
        <f>SUMIF('CF.2'!$H$102:$H$108,'CF.1'!E210,'CF.2'!$J$102:$J$108)+SUMIF('CF.2'!$K$102:$K$108,'CF.1'!E210,'CF.2'!$M$102:$M$108)</f>
        <v>0</v>
      </c>
      <c r="Q210" s="581">
        <f>SUMIF('CF.2'!$H$113:$H$121,'CF.1'!E210,'CF.2'!$J$113:$J$121)+SUMIF('CF.2'!$K$113:$K$121,'CF.1'!E210,'CF.2'!$M$113:$M$121)</f>
        <v>0</v>
      </c>
      <c r="R210" s="582">
        <f t="shared" si="25"/>
        <v>0</v>
      </c>
      <c r="T210" s="584">
        <f t="shared" si="26"/>
        <v>0</v>
      </c>
    </row>
    <row r="211" spans="3:20" ht="18" customHeight="1">
      <c r="C211" s="6">
        <v>1</v>
      </c>
      <c r="D211" s="578" t="s">
        <v>1074</v>
      </c>
      <c r="E211" s="579" t="s">
        <v>1074</v>
      </c>
      <c r="F211" s="580"/>
      <c r="G211" s="579" t="s">
        <v>1075</v>
      </c>
      <c r="H211" s="581">
        <v>0</v>
      </c>
      <c r="I211" s="581">
        <v>0</v>
      </c>
      <c r="J211" s="581">
        <v>0</v>
      </c>
      <c r="K211" s="582">
        <f t="shared" si="24"/>
        <v>0</v>
      </c>
      <c r="M211" s="583">
        <f>SUMIF('CF.2'!$H$5:$H$24,'CF.1'!E211,'CF.2'!$J$5:$J$24)-SUMIF('CF.2'!$K$5:$K$24,'CF.1'!E211,'CF.2'!$M$5:$M$24)</f>
        <v>0</v>
      </c>
      <c r="N211" s="581">
        <f>SUMIF('CF.2'!$H$30:$H$59,'CF.1'!E211,'CF.2'!$J$30:$J$59)+SUMIF('CF.2'!$K$30:$K$59,'CF.1'!E211,'CF.2'!$M$30:$M$59)</f>
        <v>0</v>
      </c>
      <c r="O211" s="581">
        <f>SUMIF('CF.2'!$H$64:$H$98,'CF.1'!E211,'CF.2'!$J$64:$J$98)+SUMIF('CF.2'!$K$64:$K$98,'CF.1'!E211,'CF.2'!$M$64:$M$98)</f>
        <v>0</v>
      </c>
      <c r="P211" s="581">
        <f>SUMIF('CF.2'!$H$102:$H$108,'CF.1'!E211,'CF.2'!$J$102:$J$108)+SUMIF('CF.2'!$K$102:$K$108,'CF.1'!E211,'CF.2'!$M$102:$M$108)</f>
        <v>0</v>
      </c>
      <c r="Q211" s="581">
        <f>SUMIF('CF.2'!$H$113:$H$121,'CF.1'!E211,'CF.2'!$J$113:$J$121)+SUMIF('CF.2'!$K$113:$K$121,'CF.1'!E211,'CF.2'!$M$113:$M$121)</f>
        <v>0</v>
      </c>
      <c r="R211" s="582">
        <f t="shared" si="25"/>
        <v>0</v>
      </c>
      <c r="T211" s="584">
        <f t="shared" si="26"/>
        <v>0</v>
      </c>
    </row>
    <row r="212" spans="3:20" ht="18" customHeight="1">
      <c r="C212" s="6">
        <v>1</v>
      </c>
      <c r="D212" s="578" t="s">
        <v>1076</v>
      </c>
      <c r="E212" s="579" t="s">
        <v>1382</v>
      </c>
      <c r="F212" s="580" t="s">
        <v>1480</v>
      </c>
      <c r="G212" s="579" t="s">
        <v>1379</v>
      </c>
      <c r="H212" s="581">
        <v>0</v>
      </c>
      <c r="I212" s="581">
        <v>0</v>
      </c>
      <c r="J212" s="581">
        <v>0</v>
      </c>
      <c r="K212" s="582">
        <f t="shared" si="24"/>
        <v>0</v>
      </c>
      <c r="M212" s="583">
        <f>SUMIF('CF.2'!$H$5:$H$24,'CF.1'!E212,'CF.2'!$J$5:$J$24)-SUMIF('CF.2'!$K$5:$K$24,'CF.1'!E212,'CF.2'!$M$5:$M$24)</f>
        <v>0</v>
      </c>
      <c r="N212" s="581">
        <f>SUMIF('CF.2'!$H$30:$H$59,'CF.1'!E212,'CF.2'!$J$30:$J$59)+SUMIF('CF.2'!$K$30:$K$59,'CF.1'!E212,'CF.2'!$M$30:$M$59)</f>
        <v>0</v>
      </c>
      <c r="O212" s="581">
        <f>SUMIF('CF.2'!$H$64:$H$98,'CF.1'!E212,'CF.2'!$J$64:$J$98)+SUMIF('CF.2'!$K$64:$K$98,'CF.1'!E212,'CF.2'!$M$64:$M$98)</f>
        <v>0</v>
      </c>
      <c r="P212" s="581">
        <f>SUMIF('CF.2'!$H$102:$H$108,'CF.1'!E212,'CF.2'!$J$102:$J$108)+SUMIF('CF.2'!$K$102:$K$108,'CF.1'!E212,'CF.2'!$M$102:$M$108)</f>
        <v>0</v>
      </c>
      <c r="Q212" s="581">
        <f>SUMIF('CF.2'!$H$113:$H$121,'CF.1'!E212,'CF.2'!$J$113:$J$121)+SUMIF('CF.2'!$K$113:$K$121,'CF.1'!E212,'CF.2'!$M$113:$M$121)</f>
        <v>0</v>
      </c>
      <c r="R212" s="582">
        <f t="shared" si="25"/>
        <v>0</v>
      </c>
      <c r="T212" s="584">
        <f t="shared" si="26"/>
        <v>0</v>
      </c>
    </row>
    <row r="213" spans="3:20" ht="18" customHeight="1">
      <c r="C213" s="6">
        <v>1</v>
      </c>
      <c r="D213" s="578" t="s">
        <v>1076</v>
      </c>
      <c r="E213" s="579" t="s">
        <v>1383</v>
      </c>
      <c r="F213" s="580" t="s">
        <v>1480</v>
      </c>
      <c r="G213" s="579" t="s">
        <v>1380</v>
      </c>
      <c r="H213" s="581">
        <v>0</v>
      </c>
      <c r="I213" s="581">
        <v>0</v>
      </c>
      <c r="J213" s="581">
        <v>0</v>
      </c>
      <c r="K213" s="582">
        <f t="shared" si="24"/>
        <v>0</v>
      </c>
      <c r="M213" s="583">
        <f>SUMIF('CF.2'!$H$5:$H$24,'CF.1'!E213,'CF.2'!$J$5:$J$24)-SUMIF('CF.2'!$K$5:$K$24,'CF.1'!E213,'CF.2'!$M$5:$M$24)</f>
        <v>0</v>
      </c>
      <c r="N213" s="581">
        <f>SUMIF('CF.2'!$H$30:$H$59,'CF.1'!E213,'CF.2'!$J$30:$J$59)+SUMIF('CF.2'!$K$30:$K$59,'CF.1'!E213,'CF.2'!$M$30:$M$59)</f>
        <v>0</v>
      </c>
      <c r="O213" s="581">
        <f>SUMIF('CF.2'!$H$64:$H$98,'CF.1'!E213,'CF.2'!$J$64:$J$98)+SUMIF('CF.2'!$K$64:$K$98,'CF.1'!E213,'CF.2'!$M$64:$M$98)</f>
        <v>0</v>
      </c>
      <c r="P213" s="581">
        <f>SUMIF('CF.2'!$H$102:$H$108,'CF.1'!E213,'CF.2'!$J$102:$J$108)+SUMIF('CF.2'!$K$102:$K$108,'CF.1'!E213,'CF.2'!$M$102:$M$108)</f>
        <v>0</v>
      </c>
      <c r="Q213" s="581">
        <f>SUMIF('CF.2'!$H$113:$H$121,'CF.1'!E213,'CF.2'!$J$113:$J$121)+SUMIF('CF.2'!$K$113:$K$121,'CF.1'!E213,'CF.2'!$M$113:$M$121)</f>
        <v>0</v>
      </c>
      <c r="R213" s="582">
        <f t="shared" si="25"/>
        <v>0</v>
      </c>
      <c r="T213" s="584">
        <f t="shared" si="26"/>
        <v>0</v>
      </c>
    </row>
    <row r="214" spans="3:20" ht="18" customHeight="1">
      <c r="C214" s="6">
        <v>1</v>
      </c>
      <c r="D214" s="578" t="s">
        <v>1076</v>
      </c>
      <c r="E214" s="579" t="s">
        <v>1384</v>
      </c>
      <c r="F214" s="580" t="s">
        <v>1480</v>
      </c>
      <c r="G214" s="579" t="s">
        <v>1381</v>
      </c>
      <c r="H214" s="581">
        <v>2378200</v>
      </c>
      <c r="I214" s="581">
        <v>0</v>
      </c>
      <c r="J214" s="581">
        <v>0</v>
      </c>
      <c r="K214" s="582">
        <f t="shared" si="24"/>
        <v>2378200</v>
      </c>
      <c r="M214" s="583">
        <f>SUMIF('CF.2'!$H$5:$H$24,'CF.1'!E214,'CF.2'!$J$5:$J$24)-SUMIF('CF.2'!$K$5:$K$24,'CF.1'!E214,'CF.2'!$M$5:$M$24)</f>
        <v>0</v>
      </c>
      <c r="N214" s="581">
        <f>SUMIF('CF.2'!$H$30:$H$59,'CF.1'!E214,'CF.2'!$J$30:$J$59)+SUMIF('CF.2'!$K$30:$K$59,'CF.1'!E214,'CF.2'!$M$30:$M$59)</f>
        <v>0</v>
      </c>
      <c r="O214" s="581">
        <f>SUMIF('CF.2'!$H$64:$H$98,'CF.1'!E214,'CF.2'!$J$64:$J$98)+SUMIF('CF.2'!$K$64:$K$98,'CF.1'!E214,'CF.2'!$M$64:$M$98)</f>
        <v>0</v>
      </c>
      <c r="P214" s="581">
        <f>SUMIF('CF.2'!$H$102:$H$108,'CF.1'!E214,'CF.2'!$J$102:$J$108)+SUMIF('CF.2'!$K$102:$K$108,'CF.1'!E214,'CF.2'!$M$102:$M$108)</f>
        <v>0</v>
      </c>
      <c r="Q214" s="581">
        <f>SUMIF('CF.2'!$H$113:$H$121,'CF.1'!E214,'CF.2'!$J$113:$J$121)+SUMIF('CF.2'!$K$113:$K$121,'CF.1'!E214,'CF.2'!$M$113:$M$121)</f>
        <v>0</v>
      </c>
      <c r="R214" s="582">
        <f t="shared" si="25"/>
        <v>0</v>
      </c>
      <c r="T214" s="584">
        <f t="shared" si="26"/>
        <v>2378200</v>
      </c>
    </row>
    <row r="215" spans="3:20" ht="18" customHeight="1">
      <c r="C215" s="6">
        <v>1</v>
      </c>
      <c r="D215" s="578" t="s">
        <v>1077</v>
      </c>
      <c r="E215" s="579" t="s">
        <v>1077</v>
      </c>
      <c r="F215" s="580"/>
      <c r="G215" s="579" t="s">
        <v>1078</v>
      </c>
      <c r="H215" s="581">
        <v>0</v>
      </c>
      <c r="I215" s="581">
        <v>0</v>
      </c>
      <c r="J215" s="581">
        <v>0</v>
      </c>
      <c r="K215" s="582">
        <f t="shared" ref="K215:K240" si="27">SUM(H215:J215)</f>
        <v>0</v>
      </c>
      <c r="M215" s="583">
        <f>SUMIF('CF.2'!$H$5:$H$24,'CF.1'!E215,'CF.2'!$J$5:$J$24)-SUMIF('CF.2'!$K$5:$K$24,'CF.1'!E215,'CF.2'!$M$5:$M$24)</f>
        <v>0</v>
      </c>
      <c r="N215" s="581">
        <f>SUMIF('CF.2'!$H$30:$H$59,'CF.1'!E215,'CF.2'!$J$30:$J$59)+SUMIF('CF.2'!$K$30:$K$59,'CF.1'!E215,'CF.2'!$M$30:$M$59)</f>
        <v>0</v>
      </c>
      <c r="O215" s="581">
        <f>SUMIF('CF.2'!$H$64:$H$98,'CF.1'!E215,'CF.2'!$J$64:$J$98)+SUMIF('CF.2'!$K$64:$K$98,'CF.1'!E215,'CF.2'!$M$64:$M$98)</f>
        <v>0</v>
      </c>
      <c r="P215" s="581">
        <f>SUMIF('CF.2'!$H$102:$H$108,'CF.1'!E215,'CF.2'!$J$102:$J$108)+SUMIF('CF.2'!$K$102:$K$108,'CF.1'!E215,'CF.2'!$M$102:$M$108)</f>
        <v>0</v>
      </c>
      <c r="Q215" s="581">
        <f>SUMIF('CF.2'!$H$113:$H$121,'CF.1'!E215,'CF.2'!$J$113:$J$121)+SUMIF('CF.2'!$K$113:$K$121,'CF.1'!E215,'CF.2'!$M$113:$M$121)</f>
        <v>0</v>
      </c>
      <c r="R215" s="582">
        <f t="shared" si="25"/>
        <v>0</v>
      </c>
      <c r="T215" s="584">
        <f t="shared" ref="T215:T240" si="28">ROUND(R215+K215,0)</f>
        <v>0</v>
      </c>
    </row>
    <row r="216" spans="3:20" ht="18" customHeight="1">
      <c r="C216" s="6">
        <v>1</v>
      </c>
      <c r="D216" s="578" t="s">
        <v>1079</v>
      </c>
      <c r="E216" s="579" t="s">
        <v>1079</v>
      </c>
      <c r="F216" s="580"/>
      <c r="G216" s="579" t="s">
        <v>1080</v>
      </c>
      <c r="H216" s="581">
        <v>0</v>
      </c>
      <c r="I216" s="581">
        <v>0</v>
      </c>
      <c r="J216" s="581">
        <v>0</v>
      </c>
      <c r="K216" s="582">
        <f t="shared" si="27"/>
        <v>0</v>
      </c>
      <c r="M216" s="583">
        <f>SUMIF('CF.2'!$H$5:$H$24,'CF.1'!E216,'CF.2'!$J$5:$J$24)-SUMIF('CF.2'!$K$5:$K$24,'CF.1'!E216,'CF.2'!$M$5:$M$24)</f>
        <v>0</v>
      </c>
      <c r="N216" s="581">
        <f>SUMIF('CF.2'!$H$30:$H$59,'CF.1'!E216,'CF.2'!$J$30:$J$59)+SUMIF('CF.2'!$K$30:$K$59,'CF.1'!E216,'CF.2'!$M$30:$M$59)</f>
        <v>0</v>
      </c>
      <c r="O216" s="581">
        <f>SUMIF('CF.2'!$H$64:$H$98,'CF.1'!E216,'CF.2'!$J$64:$J$98)+SUMIF('CF.2'!$K$64:$K$98,'CF.1'!E216,'CF.2'!$M$64:$M$98)</f>
        <v>0</v>
      </c>
      <c r="P216" s="581">
        <f>SUMIF('CF.2'!$H$102:$H$108,'CF.1'!E216,'CF.2'!$J$102:$J$108)+SUMIF('CF.2'!$K$102:$K$108,'CF.1'!E216,'CF.2'!$M$102:$M$108)</f>
        <v>0</v>
      </c>
      <c r="Q216" s="581">
        <f>SUMIF('CF.2'!$H$113:$H$121,'CF.1'!E216,'CF.2'!$J$113:$J$121)+SUMIF('CF.2'!$K$113:$K$121,'CF.1'!E216,'CF.2'!$M$113:$M$121)</f>
        <v>0</v>
      </c>
      <c r="R216" s="582">
        <f t="shared" si="25"/>
        <v>0</v>
      </c>
      <c r="T216" s="584">
        <f t="shared" si="28"/>
        <v>0</v>
      </c>
    </row>
    <row r="217" spans="3:20" ht="18" customHeight="1">
      <c r="C217" s="6">
        <v>1</v>
      </c>
      <c r="D217" s="578" t="s">
        <v>1081</v>
      </c>
      <c r="E217" s="579" t="s">
        <v>1081</v>
      </c>
      <c r="F217" s="580"/>
      <c r="G217" s="579" t="s">
        <v>1082</v>
      </c>
      <c r="H217" s="581">
        <v>0</v>
      </c>
      <c r="I217" s="581">
        <v>0</v>
      </c>
      <c r="J217" s="581">
        <v>0</v>
      </c>
      <c r="K217" s="582">
        <f t="shared" si="27"/>
        <v>0</v>
      </c>
      <c r="M217" s="583">
        <f>SUMIF('CF.2'!$H$5:$H$24,'CF.1'!E217,'CF.2'!$J$5:$J$24)-SUMIF('CF.2'!$K$5:$K$24,'CF.1'!E217,'CF.2'!$M$5:$M$24)</f>
        <v>0</v>
      </c>
      <c r="N217" s="581">
        <f>SUMIF('CF.2'!$H$30:$H$59,'CF.1'!E217,'CF.2'!$J$30:$J$59)+SUMIF('CF.2'!$K$30:$K$59,'CF.1'!E217,'CF.2'!$M$30:$M$59)</f>
        <v>0</v>
      </c>
      <c r="O217" s="581">
        <f>SUMIF('CF.2'!$H$64:$H$98,'CF.1'!E217,'CF.2'!$J$64:$J$98)+SUMIF('CF.2'!$K$64:$K$98,'CF.1'!E217,'CF.2'!$M$64:$M$98)</f>
        <v>0</v>
      </c>
      <c r="P217" s="581">
        <f>SUMIF('CF.2'!$H$102:$H$108,'CF.1'!E217,'CF.2'!$J$102:$J$108)+SUMIF('CF.2'!$K$102:$K$108,'CF.1'!E217,'CF.2'!$M$102:$M$108)</f>
        <v>0</v>
      </c>
      <c r="Q217" s="581">
        <f>SUMIF('CF.2'!$H$113:$H$121,'CF.1'!E217,'CF.2'!$J$113:$J$121)+SUMIF('CF.2'!$K$113:$K$121,'CF.1'!E217,'CF.2'!$M$113:$M$121)</f>
        <v>0</v>
      </c>
      <c r="R217" s="582">
        <f t="shared" si="25"/>
        <v>0</v>
      </c>
      <c r="T217" s="584">
        <f t="shared" si="28"/>
        <v>0</v>
      </c>
    </row>
    <row r="218" spans="3:20" ht="18" customHeight="1">
      <c r="C218" s="6">
        <v>1</v>
      </c>
      <c r="D218" s="578" t="s">
        <v>1083</v>
      </c>
      <c r="E218" s="579" t="s">
        <v>1083</v>
      </c>
      <c r="F218" s="580" t="s">
        <v>1480</v>
      </c>
      <c r="G218" s="579" t="s">
        <v>1084</v>
      </c>
      <c r="H218" s="581">
        <v>0</v>
      </c>
      <c r="I218" s="581">
        <v>0</v>
      </c>
      <c r="J218" s="581">
        <v>0</v>
      </c>
      <c r="K218" s="582">
        <f t="shared" si="27"/>
        <v>0</v>
      </c>
      <c r="M218" s="583">
        <f>SUMIF('CF.2'!$H$5:$H$24,'CF.1'!E218,'CF.2'!$J$5:$J$24)-SUMIF('CF.2'!$K$5:$K$24,'CF.1'!E218,'CF.2'!$M$5:$M$24)</f>
        <v>0</v>
      </c>
      <c r="N218" s="581">
        <f>SUMIF('CF.2'!$H$30:$H$59,'CF.1'!E218,'CF.2'!$J$30:$J$59)+SUMIF('CF.2'!$K$30:$K$59,'CF.1'!E218,'CF.2'!$M$30:$M$59)</f>
        <v>0</v>
      </c>
      <c r="O218" s="581">
        <f>SUMIF('CF.2'!$H$64:$H$98,'CF.1'!E218,'CF.2'!$J$64:$J$98)+SUMIF('CF.2'!$K$64:$K$98,'CF.1'!E218,'CF.2'!$M$64:$M$98)</f>
        <v>0</v>
      </c>
      <c r="P218" s="581">
        <f>SUMIF('CF.2'!$H$102:$H$108,'CF.1'!E218,'CF.2'!$J$102:$J$108)+SUMIF('CF.2'!$K$102:$K$108,'CF.1'!E218,'CF.2'!$M$102:$M$108)</f>
        <v>0</v>
      </c>
      <c r="Q218" s="581">
        <f>SUMIF('CF.2'!$H$113:$H$121,'CF.1'!E218,'CF.2'!$J$113:$J$121)+SUMIF('CF.2'!$K$113:$K$121,'CF.1'!E218,'CF.2'!$M$113:$M$121)</f>
        <v>0</v>
      </c>
      <c r="R218" s="582">
        <f t="shared" si="25"/>
        <v>0</v>
      </c>
      <c r="T218" s="584">
        <f t="shared" si="28"/>
        <v>0</v>
      </c>
    </row>
    <row r="219" spans="3:20" ht="18" customHeight="1">
      <c r="C219" s="6">
        <v>1</v>
      </c>
      <c r="D219" s="578" t="s">
        <v>1085</v>
      </c>
      <c r="E219" s="579" t="s">
        <v>1085</v>
      </c>
      <c r="F219" s="580"/>
      <c r="G219" s="579" t="s">
        <v>1086</v>
      </c>
      <c r="H219" s="581">
        <v>0</v>
      </c>
      <c r="I219" s="581">
        <v>0</v>
      </c>
      <c r="J219" s="581">
        <v>0</v>
      </c>
      <c r="K219" s="582">
        <f t="shared" si="27"/>
        <v>0</v>
      </c>
      <c r="M219" s="583">
        <f>SUMIF('CF.2'!$H$5:$H$24,'CF.1'!E219,'CF.2'!$J$5:$J$24)-SUMIF('CF.2'!$K$5:$K$24,'CF.1'!E219,'CF.2'!$M$5:$M$24)</f>
        <v>0</v>
      </c>
      <c r="N219" s="581">
        <f>SUMIF('CF.2'!$H$30:$H$59,'CF.1'!E219,'CF.2'!$J$30:$J$59)+SUMIF('CF.2'!$K$30:$K$59,'CF.1'!E219,'CF.2'!$M$30:$M$59)</f>
        <v>0</v>
      </c>
      <c r="O219" s="581">
        <f>SUMIF('CF.2'!$H$64:$H$98,'CF.1'!E219,'CF.2'!$J$64:$J$98)+SUMIF('CF.2'!$K$64:$K$98,'CF.1'!E219,'CF.2'!$M$64:$M$98)</f>
        <v>0</v>
      </c>
      <c r="P219" s="581">
        <f>SUMIF('CF.2'!$H$102:$H$108,'CF.1'!E219,'CF.2'!$J$102:$J$108)+SUMIF('CF.2'!$K$102:$K$108,'CF.1'!E219,'CF.2'!$M$102:$M$108)</f>
        <v>0</v>
      </c>
      <c r="Q219" s="581">
        <f>SUMIF('CF.2'!$H$113:$H$121,'CF.1'!E219,'CF.2'!$J$113:$J$121)+SUMIF('CF.2'!$K$113:$K$121,'CF.1'!E219,'CF.2'!$M$113:$M$121)</f>
        <v>0</v>
      </c>
      <c r="R219" s="582">
        <f t="shared" si="25"/>
        <v>0</v>
      </c>
      <c r="T219" s="584">
        <f t="shared" si="28"/>
        <v>0</v>
      </c>
    </row>
    <row r="220" spans="3:20" ht="18" customHeight="1">
      <c r="C220" s="6">
        <v>1</v>
      </c>
      <c r="D220" s="578" t="s">
        <v>1087</v>
      </c>
      <c r="E220" s="579" t="s">
        <v>1087</v>
      </c>
      <c r="F220" s="580"/>
      <c r="G220" s="579" t="s">
        <v>1088</v>
      </c>
      <c r="H220" s="581">
        <v>0</v>
      </c>
      <c r="I220" s="581">
        <v>0</v>
      </c>
      <c r="J220" s="581">
        <v>0</v>
      </c>
      <c r="K220" s="582">
        <f t="shared" si="27"/>
        <v>0</v>
      </c>
      <c r="M220" s="583">
        <f>SUMIF('CF.2'!$H$5:$H$24,'CF.1'!E220,'CF.2'!$J$5:$J$24)-SUMIF('CF.2'!$K$5:$K$24,'CF.1'!E220,'CF.2'!$M$5:$M$24)</f>
        <v>0</v>
      </c>
      <c r="N220" s="581">
        <f>SUMIF('CF.2'!$H$30:$H$59,'CF.1'!E220,'CF.2'!$J$30:$J$59)+SUMIF('CF.2'!$K$30:$K$59,'CF.1'!E220,'CF.2'!$M$30:$M$59)</f>
        <v>0</v>
      </c>
      <c r="O220" s="581">
        <f>SUMIF('CF.2'!$H$64:$H$98,'CF.1'!E220,'CF.2'!$J$64:$J$98)+SUMIF('CF.2'!$K$64:$K$98,'CF.1'!E220,'CF.2'!$M$64:$M$98)</f>
        <v>0</v>
      </c>
      <c r="P220" s="581">
        <f>SUMIF('CF.2'!$H$102:$H$108,'CF.1'!E220,'CF.2'!$J$102:$J$108)+SUMIF('CF.2'!$K$102:$K$108,'CF.1'!E220,'CF.2'!$M$102:$M$108)</f>
        <v>0</v>
      </c>
      <c r="Q220" s="581">
        <f>SUMIF('CF.2'!$H$113:$H$121,'CF.1'!E220,'CF.2'!$J$113:$J$121)+SUMIF('CF.2'!$K$113:$K$121,'CF.1'!E220,'CF.2'!$M$113:$M$121)</f>
        <v>0</v>
      </c>
      <c r="R220" s="582">
        <f t="shared" si="25"/>
        <v>0</v>
      </c>
      <c r="T220" s="584">
        <f t="shared" si="28"/>
        <v>0</v>
      </c>
    </row>
    <row r="221" spans="3:20" ht="18" customHeight="1">
      <c r="C221" s="6">
        <v>1</v>
      </c>
      <c r="D221" s="578" t="s">
        <v>1089</v>
      </c>
      <c r="E221" s="579" t="s">
        <v>1089</v>
      </c>
      <c r="F221" s="580" t="s">
        <v>1481</v>
      </c>
      <c r="G221" s="579" t="s">
        <v>1090</v>
      </c>
      <c r="H221" s="581">
        <v>0</v>
      </c>
      <c r="I221" s="581">
        <v>0</v>
      </c>
      <c r="J221" s="581">
        <v>0</v>
      </c>
      <c r="K221" s="582">
        <f t="shared" si="27"/>
        <v>0</v>
      </c>
      <c r="M221" s="583">
        <f>SUMIF('CF.2'!$H$5:$H$24,'CF.1'!E221,'CF.2'!$J$5:$J$24)-SUMIF('CF.2'!$K$5:$K$24,'CF.1'!E221,'CF.2'!$M$5:$M$24)</f>
        <v>0</v>
      </c>
      <c r="N221" s="581">
        <f>SUMIF('CF.2'!$H$30:$H$59,'CF.1'!E221,'CF.2'!$J$30:$J$59)+SUMIF('CF.2'!$K$30:$K$59,'CF.1'!E221,'CF.2'!$M$30:$M$59)</f>
        <v>0</v>
      </c>
      <c r="O221" s="581">
        <f>SUMIF('CF.2'!$H$64:$H$98,'CF.1'!E221,'CF.2'!$J$64:$J$98)+SUMIF('CF.2'!$K$64:$K$98,'CF.1'!E221,'CF.2'!$M$64:$M$98)</f>
        <v>0</v>
      </c>
      <c r="P221" s="581">
        <f>SUMIF('CF.2'!$H$102:$H$108,'CF.1'!E221,'CF.2'!$J$102:$J$108)+SUMIF('CF.2'!$K$102:$K$108,'CF.1'!E221,'CF.2'!$M$102:$M$108)</f>
        <v>0</v>
      </c>
      <c r="Q221" s="581">
        <f>SUMIF('CF.2'!$H$113:$H$121,'CF.1'!E221,'CF.2'!$J$113:$J$121)+SUMIF('CF.2'!$K$113:$K$121,'CF.1'!E221,'CF.2'!$M$113:$M$121)</f>
        <v>0</v>
      </c>
      <c r="R221" s="582">
        <f t="shared" si="25"/>
        <v>0</v>
      </c>
      <c r="T221" s="584">
        <f t="shared" si="28"/>
        <v>0</v>
      </c>
    </row>
    <row r="222" spans="3:20" ht="18" customHeight="1">
      <c r="C222" s="6">
        <v>1</v>
      </c>
      <c r="D222" s="578" t="s">
        <v>1091</v>
      </c>
      <c r="E222" s="579" t="s">
        <v>1091</v>
      </c>
      <c r="F222" s="580"/>
      <c r="G222" s="579" t="s">
        <v>1092</v>
      </c>
      <c r="H222" s="581">
        <v>0</v>
      </c>
      <c r="I222" s="581">
        <v>0</v>
      </c>
      <c r="J222" s="581">
        <v>0</v>
      </c>
      <c r="K222" s="582">
        <f t="shared" si="27"/>
        <v>0</v>
      </c>
      <c r="M222" s="583">
        <f>SUMIF('CF.2'!$H$5:$H$24,'CF.1'!E222,'CF.2'!$J$5:$J$24)-SUMIF('CF.2'!$K$5:$K$24,'CF.1'!E222,'CF.2'!$M$5:$M$24)</f>
        <v>0</v>
      </c>
      <c r="N222" s="581">
        <f>SUMIF('CF.2'!$H$30:$H$59,'CF.1'!E222,'CF.2'!$J$30:$J$59)+SUMIF('CF.2'!$K$30:$K$59,'CF.1'!E222,'CF.2'!$M$30:$M$59)</f>
        <v>0</v>
      </c>
      <c r="O222" s="581">
        <f>SUMIF('CF.2'!$H$64:$H$98,'CF.1'!E222,'CF.2'!$J$64:$J$98)+SUMIF('CF.2'!$K$64:$K$98,'CF.1'!E222,'CF.2'!$M$64:$M$98)</f>
        <v>0</v>
      </c>
      <c r="P222" s="581">
        <f>SUMIF('CF.2'!$H$102:$H$108,'CF.1'!E222,'CF.2'!$J$102:$J$108)+SUMIF('CF.2'!$K$102:$K$108,'CF.1'!E222,'CF.2'!$M$102:$M$108)</f>
        <v>0</v>
      </c>
      <c r="Q222" s="581">
        <f>SUMIF('CF.2'!$H$113:$H$121,'CF.1'!E222,'CF.2'!$J$113:$J$121)+SUMIF('CF.2'!$K$113:$K$121,'CF.1'!E222,'CF.2'!$M$113:$M$121)</f>
        <v>0</v>
      </c>
      <c r="R222" s="582">
        <f t="shared" si="25"/>
        <v>0</v>
      </c>
      <c r="T222" s="584">
        <f t="shared" si="28"/>
        <v>0</v>
      </c>
    </row>
    <row r="223" spans="3:20" ht="18" customHeight="1">
      <c r="C223" s="6">
        <v>1</v>
      </c>
      <c r="D223" s="578" t="s">
        <v>1093</v>
      </c>
      <c r="E223" s="579" t="s">
        <v>1093</v>
      </c>
      <c r="F223" s="580"/>
      <c r="G223" s="579" t="s">
        <v>1094</v>
      </c>
      <c r="H223" s="581">
        <v>0</v>
      </c>
      <c r="I223" s="581">
        <v>0</v>
      </c>
      <c r="J223" s="581">
        <v>0</v>
      </c>
      <c r="K223" s="582">
        <f t="shared" si="27"/>
        <v>0</v>
      </c>
      <c r="M223" s="583">
        <f>SUMIF('CF.2'!$H$5:$H$24,'CF.1'!E223,'CF.2'!$J$5:$J$24)-SUMIF('CF.2'!$K$5:$K$24,'CF.1'!E223,'CF.2'!$M$5:$M$24)</f>
        <v>0</v>
      </c>
      <c r="N223" s="581">
        <f>SUMIF('CF.2'!$H$30:$H$59,'CF.1'!E223,'CF.2'!$J$30:$J$59)+SUMIF('CF.2'!$K$30:$K$59,'CF.1'!E223,'CF.2'!$M$30:$M$59)</f>
        <v>0</v>
      </c>
      <c r="O223" s="581">
        <f>SUMIF('CF.2'!$H$64:$H$98,'CF.1'!E223,'CF.2'!$J$64:$J$98)+SUMIF('CF.2'!$K$64:$K$98,'CF.1'!E223,'CF.2'!$M$64:$M$98)</f>
        <v>0</v>
      </c>
      <c r="P223" s="581">
        <f>SUMIF('CF.2'!$H$102:$H$108,'CF.1'!E223,'CF.2'!$J$102:$J$108)+SUMIF('CF.2'!$K$102:$K$108,'CF.1'!E223,'CF.2'!$M$102:$M$108)</f>
        <v>0</v>
      </c>
      <c r="Q223" s="581">
        <f>SUMIF('CF.2'!$H$113:$H$121,'CF.1'!E223,'CF.2'!$J$113:$J$121)+SUMIF('CF.2'!$K$113:$K$121,'CF.1'!E223,'CF.2'!$M$113:$M$121)</f>
        <v>0</v>
      </c>
      <c r="R223" s="582">
        <f t="shared" si="25"/>
        <v>0</v>
      </c>
      <c r="T223" s="584">
        <f t="shared" si="28"/>
        <v>0</v>
      </c>
    </row>
    <row r="224" spans="3:20" ht="18" customHeight="1">
      <c r="C224" s="6">
        <v>1</v>
      </c>
      <c r="D224" s="578" t="s">
        <v>1095</v>
      </c>
      <c r="E224" s="579" t="s">
        <v>1095</v>
      </c>
      <c r="F224" s="580"/>
      <c r="G224" s="579" t="s">
        <v>1096</v>
      </c>
      <c r="H224" s="581">
        <v>0</v>
      </c>
      <c r="I224" s="581">
        <v>0</v>
      </c>
      <c r="J224" s="581">
        <v>0</v>
      </c>
      <c r="K224" s="582">
        <f t="shared" si="27"/>
        <v>0</v>
      </c>
      <c r="M224" s="583">
        <f>SUMIF('CF.2'!$H$5:$H$24,'CF.1'!E224,'CF.2'!$J$5:$J$24)-SUMIF('CF.2'!$K$5:$K$24,'CF.1'!E224,'CF.2'!$M$5:$M$24)</f>
        <v>0</v>
      </c>
      <c r="N224" s="581">
        <f>SUMIF('CF.2'!$H$30:$H$59,'CF.1'!E224,'CF.2'!$J$30:$J$59)+SUMIF('CF.2'!$K$30:$K$59,'CF.1'!E224,'CF.2'!$M$30:$M$59)</f>
        <v>0</v>
      </c>
      <c r="O224" s="581">
        <f>SUMIF('CF.2'!$H$64:$H$98,'CF.1'!E224,'CF.2'!$J$64:$J$98)+SUMIF('CF.2'!$K$64:$K$98,'CF.1'!E224,'CF.2'!$M$64:$M$98)</f>
        <v>0</v>
      </c>
      <c r="P224" s="581">
        <f>SUMIF('CF.2'!$H$102:$H$108,'CF.1'!E224,'CF.2'!$J$102:$J$108)+SUMIF('CF.2'!$K$102:$K$108,'CF.1'!E224,'CF.2'!$M$102:$M$108)</f>
        <v>0</v>
      </c>
      <c r="Q224" s="581">
        <f>SUMIF('CF.2'!$H$113:$H$121,'CF.1'!E224,'CF.2'!$J$113:$J$121)+SUMIF('CF.2'!$K$113:$K$121,'CF.1'!E224,'CF.2'!$M$113:$M$121)</f>
        <v>0</v>
      </c>
      <c r="R224" s="582">
        <f t="shared" si="25"/>
        <v>0</v>
      </c>
      <c r="T224" s="584">
        <f t="shared" si="28"/>
        <v>0</v>
      </c>
    </row>
    <row r="225" spans="3:20" ht="18" customHeight="1">
      <c r="C225" s="6">
        <v>1</v>
      </c>
      <c r="D225" s="578" t="s">
        <v>1097</v>
      </c>
      <c r="E225" s="579" t="s">
        <v>1386</v>
      </c>
      <c r="F225" s="580"/>
      <c r="G225" s="579" t="s">
        <v>1385</v>
      </c>
      <c r="H225" s="581">
        <v>0</v>
      </c>
      <c r="I225" s="581">
        <v>0</v>
      </c>
      <c r="J225" s="581">
        <v>0</v>
      </c>
      <c r="K225" s="582">
        <f t="shared" si="27"/>
        <v>0</v>
      </c>
      <c r="M225" s="583">
        <f>SUMIF('CF.2'!$H$5:$H$24,'CF.1'!E225,'CF.2'!$J$5:$J$24)-SUMIF('CF.2'!$K$5:$K$24,'CF.1'!E225,'CF.2'!$M$5:$M$24)</f>
        <v>0</v>
      </c>
      <c r="N225" s="581">
        <f>SUMIF('CF.2'!$H$30:$H$59,'CF.1'!E225,'CF.2'!$J$30:$J$59)+SUMIF('CF.2'!$K$30:$K$59,'CF.1'!E225,'CF.2'!$M$30:$M$59)</f>
        <v>0</v>
      </c>
      <c r="O225" s="581">
        <f>SUMIF('CF.2'!$H$64:$H$98,'CF.1'!E225,'CF.2'!$J$64:$J$98)+SUMIF('CF.2'!$K$64:$K$98,'CF.1'!E225,'CF.2'!$M$64:$M$98)</f>
        <v>0</v>
      </c>
      <c r="P225" s="581">
        <f>SUMIF('CF.2'!$H$102:$H$108,'CF.1'!E225,'CF.2'!$J$102:$J$108)+SUMIF('CF.2'!$K$102:$K$108,'CF.1'!E225,'CF.2'!$M$102:$M$108)</f>
        <v>0</v>
      </c>
      <c r="Q225" s="581">
        <f>SUMIF('CF.2'!$H$113:$H$121,'CF.1'!E225,'CF.2'!$J$113:$J$121)+SUMIF('CF.2'!$K$113:$K$121,'CF.1'!E225,'CF.2'!$M$113:$M$121)</f>
        <v>0</v>
      </c>
      <c r="R225" s="582">
        <f t="shared" si="25"/>
        <v>0</v>
      </c>
      <c r="T225" s="584">
        <f t="shared" si="28"/>
        <v>0</v>
      </c>
    </row>
    <row r="226" spans="3:20" ht="18" customHeight="1">
      <c r="C226" s="6">
        <v>1</v>
      </c>
      <c r="D226" s="578" t="s">
        <v>1097</v>
      </c>
      <c r="E226" s="579" t="s">
        <v>1387</v>
      </c>
      <c r="F226" s="580"/>
      <c r="G226" s="579" t="s">
        <v>1098</v>
      </c>
      <c r="H226" s="581">
        <v>0</v>
      </c>
      <c r="I226" s="581">
        <v>0</v>
      </c>
      <c r="J226" s="581">
        <v>0</v>
      </c>
      <c r="K226" s="582">
        <f t="shared" si="27"/>
        <v>0</v>
      </c>
      <c r="M226" s="583">
        <f>SUMIF('CF.2'!$H$5:$H$24,'CF.1'!E226,'CF.2'!$J$5:$J$24)-SUMIF('CF.2'!$K$5:$K$24,'CF.1'!E226,'CF.2'!$M$5:$M$24)</f>
        <v>0</v>
      </c>
      <c r="N226" s="581">
        <f>SUMIF('CF.2'!$H$30:$H$59,'CF.1'!E226,'CF.2'!$J$30:$J$59)+SUMIF('CF.2'!$K$30:$K$59,'CF.1'!E226,'CF.2'!$M$30:$M$59)</f>
        <v>0</v>
      </c>
      <c r="O226" s="581">
        <f>SUMIF('CF.2'!$H$64:$H$98,'CF.1'!E226,'CF.2'!$J$64:$J$98)+SUMIF('CF.2'!$K$64:$K$98,'CF.1'!E226,'CF.2'!$M$64:$M$98)</f>
        <v>0</v>
      </c>
      <c r="P226" s="581">
        <f>SUMIF('CF.2'!$H$102:$H$108,'CF.1'!E226,'CF.2'!$J$102:$J$108)+SUMIF('CF.2'!$K$102:$K$108,'CF.1'!E226,'CF.2'!$M$102:$M$108)</f>
        <v>0</v>
      </c>
      <c r="Q226" s="581">
        <f>SUMIF('CF.2'!$H$113:$H$121,'CF.1'!E226,'CF.2'!$J$113:$J$121)+SUMIF('CF.2'!$K$113:$K$121,'CF.1'!E226,'CF.2'!$M$113:$M$121)</f>
        <v>0</v>
      </c>
      <c r="R226" s="582">
        <f t="shared" si="25"/>
        <v>0</v>
      </c>
      <c r="T226" s="584">
        <f t="shared" si="28"/>
        <v>0</v>
      </c>
    </row>
    <row r="227" spans="3:20" ht="18" customHeight="1">
      <c r="C227" s="6">
        <v>1</v>
      </c>
      <c r="D227" s="578" t="s">
        <v>1099</v>
      </c>
      <c r="E227" s="579" t="s">
        <v>1099</v>
      </c>
      <c r="F227" s="580"/>
      <c r="G227" s="579" t="s">
        <v>1100</v>
      </c>
      <c r="H227" s="581">
        <v>0</v>
      </c>
      <c r="I227" s="581">
        <v>0</v>
      </c>
      <c r="J227" s="581">
        <v>0</v>
      </c>
      <c r="K227" s="582">
        <f t="shared" si="27"/>
        <v>0</v>
      </c>
      <c r="M227" s="583">
        <f>SUMIF('CF.2'!$H$5:$H$24,'CF.1'!E227,'CF.2'!$J$5:$J$24)-SUMIF('CF.2'!$K$5:$K$24,'CF.1'!E227,'CF.2'!$M$5:$M$24)</f>
        <v>0</v>
      </c>
      <c r="N227" s="581">
        <f>SUMIF('CF.2'!$H$30:$H$59,'CF.1'!E227,'CF.2'!$J$30:$J$59)+SUMIF('CF.2'!$K$30:$K$59,'CF.1'!E227,'CF.2'!$M$30:$M$59)</f>
        <v>0</v>
      </c>
      <c r="O227" s="581">
        <f>SUMIF('CF.2'!$H$64:$H$98,'CF.1'!E227,'CF.2'!$J$64:$J$98)+SUMIF('CF.2'!$K$64:$K$98,'CF.1'!E227,'CF.2'!$M$64:$M$98)</f>
        <v>0</v>
      </c>
      <c r="P227" s="581">
        <f>SUMIF('CF.2'!$H$102:$H$108,'CF.1'!E227,'CF.2'!$J$102:$J$108)+SUMIF('CF.2'!$K$102:$K$108,'CF.1'!E227,'CF.2'!$M$102:$M$108)</f>
        <v>0</v>
      </c>
      <c r="Q227" s="581">
        <f>SUMIF('CF.2'!$H$113:$H$121,'CF.1'!E227,'CF.2'!$J$113:$J$121)+SUMIF('CF.2'!$K$113:$K$121,'CF.1'!E227,'CF.2'!$M$113:$M$121)</f>
        <v>0</v>
      </c>
      <c r="R227" s="582">
        <f t="shared" si="25"/>
        <v>0</v>
      </c>
      <c r="T227" s="584">
        <f t="shared" si="28"/>
        <v>0</v>
      </c>
    </row>
    <row r="228" spans="3:20" ht="18" customHeight="1">
      <c r="C228" s="6">
        <v>1</v>
      </c>
      <c r="D228" s="578" t="s">
        <v>1101</v>
      </c>
      <c r="E228" s="579" t="s">
        <v>1101</v>
      </c>
      <c r="F228" s="580"/>
      <c r="G228" s="579" t="s">
        <v>1102</v>
      </c>
      <c r="H228" s="581">
        <v>0</v>
      </c>
      <c r="I228" s="581">
        <v>0</v>
      </c>
      <c r="J228" s="581">
        <v>0</v>
      </c>
      <c r="K228" s="582">
        <f t="shared" si="27"/>
        <v>0</v>
      </c>
      <c r="M228" s="583">
        <f>SUMIF('CF.2'!$H$5:$H$24,'CF.1'!E228,'CF.2'!$J$5:$J$24)-SUMIF('CF.2'!$K$5:$K$24,'CF.1'!E228,'CF.2'!$M$5:$M$24)</f>
        <v>0</v>
      </c>
      <c r="N228" s="581">
        <f>SUMIF('CF.2'!$H$30:$H$59,'CF.1'!E228,'CF.2'!$J$30:$J$59)+SUMIF('CF.2'!$K$30:$K$59,'CF.1'!E228,'CF.2'!$M$30:$M$59)</f>
        <v>0</v>
      </c>
      <c r="O228" s="581">
        <f>SUMIF('CF.2'!$H$64:$H$98,'CF.1'!E228,'CF.2'!$J$64:$J$98)+SUMIF('CF.2'!$K$64:$K$98,'CF.1'!E228,'CF.2'!$M$64:$M$98)</f>
        <v>0</v>
      </c>
      <c r="P228" s="581">
        <f>SUMIF('CF.2'!$H$102:$H$108,'CF.1'!E228,'CF.2'!$J$102:$J$108)+SUMIF('CF.2'!$K$102:$K$108,'CF.1'!E228,'CF.2'!$M$102:$M$108)</f>
        <v>0</v>
      </c>
      <c r="Q228" s="581">
        <f>SUMIF('CF.2'!$H$113:$H$121,'CF.1'!E228,'CF.2'!$J$113:$J$121)+SUMIF('CF.2'!$K$113:$K$121,'CF.1'!E228,'CF.2'!$M$113:$M$121)</f>
        <v>0</v>
      </c>
      <c r="R228" s="582">
        <f t="shared" si="25"/>
        <v>0</v>
      </c>
      <c r="T228" s="584">
        <f t="shared" si="28"/>
        <v>0</v>
      </c>
    </row>
    <row r="229" spans="3:20" ht="18" customHeight="1">
      <c r="C229" s="6">
        <v>1</v>
      </c>
      <c r="D229" s="578" t="s">
        <v>1103</v>
      </c>
      <c r="E229" s="579" t="s">
        <v>1103</v>
      </c>
      <c r="F229" s="580"/>
      <c r="G229" s="579" t="s">
        <v>1104</v>
      </c>
      <c r="H229" s="581">
        <v>0</v>
      </c>
      <c r="I229" s="581">
        <v>0</v>
      </c>
      <c r="J229" s="581">
        <v>0</v>
      </c>
      <c r="K229" s="582">
        <f t="shared" si="27"/>
        <v>0</v>
      </c>
      <c r="M229" s="583">
        <f>SUMIF('CF.2'!$H$5:$H$24,'CF.1'!E229,'CF.2'!$J$5:$J$24)-SUMIF('CF.2'!$K$5:$K$24,'CF.1'!E229,'CF.2'!$M$5:$M$24)</f>
        <v>0</v>
      </c>
      <c r="N229" s="581">
        <f>SUMIF('CF.2'!$H$30:$H$59,'CF.1'!E229,'CF.2'!$J$30:$J$59)+SUMIF('CF.2'!$K$30:$K$59,'CF.1'!E229,'CF.2'!$M$30:$M$59)</f>
        <v>0</v>
      </c>
      <c r="O229" s="581">
        <f>SUMIF('CF.2'!$H$64:$H$98,'CF.1'!E229,'CF.2'!$J$64:$J$98)+SUMIF('CF.2'!$K$64:$K$98,'CF.1'!E229,'CF.2'!$M$64:$M$98)</f>
        <v>0</v>
      </c>
      <c r="P229" s="581">
        <f>SUMIF('CF.2'!$H$102:$H$108,'CF.1'!E229,'CF.2'!$J$102:$J$108)+SUMIF('CF.2'!$K$102:$K$108,'CF.1'!E229,'CF.2'!$M$102:$M$108)</f>
        <v>0</v>
      </c>
      <c r="Q229" s="581">
        <f>SUMIF('CF.2'!$H$113:$H$121,'CF.1'!E229,'CF.2'!$J$113:$J$121)+SUMIF('CF.2'!$K$113:$K$121,'CF.1'!E229,'CF.2'!$M$113:$M$121)</f>
        <v>0</v>
      </c>
      <c r="R229" s="582">
        <f t="shared" si="25"/>
        <v>0</v>
      </c>
      <c r="T229" s="584">
        <f t="shared" si="28"/>
        <v>0</v>
      </c>
    </row>
    <row r="230" spans="3:20" ht="18" customHeight="1">
      <c r="C230" s="6">
        <v>1</v>
      </c>
      <c r="D230" s="578" t="s">
        <v>1105</v>
      </c>
      <c r="E230" s="579" t="s">
        <v>1105</v>
      </c>
      <c r="F230" s="580"/>
      <c r="G230" s="579" t="s">
        <v>1106</v>
      </c>
      <c r="H230" s="581">
        <v>0</v>
      </c>
      <c r="I230" s="581">
        <v>0</v>
      </c>
      <c r="J230" s="581">
        <v>0</v>
      </c>
      <c r="K230" s="582">
        <f t="shared" si="27"/>
        <v>0</v>
      </c>
      <c r="M230" s="583">
        <f>SUMIF('CF.2'!$H$5:$H$24,'CF.1'!E230,'CF.2'!$J$5:$J$24)-SUMIF('CF.2'!$K$5:$K$24,'CF.1'!E230,'CF.2'!$M$5:$M$24)</f>
        <v>0</v>
      </c>
      <c r="N230" s="581">
        <f>SUMIF('CF.2'!$H$30:$H$59,'CF.1'!E230,'CF.2'!$J$30:$J$59)+SUMIF('CF.2'!$K$30:$K$59,'CF.1'!E230,'CF.2'!$M$30:$M$59)</f>
        <v>0</v>
      </c>
      <c r="O230" s="581">
        <f>SUMIF('CF.2'!$H$64:$H$98,'CF.1'!E230,'CF.2'!$J$64:$J$98)+SUMIF('CF.2'!$K$64:$K$98,'CF.1'!E230,'CF.2'!$M$64:$M$98)</f>
        <v>0</v>
      </c>
      <c r="P230" s="581">
        <f>SUMIF('CF.2'!$H$102:$H$108,'CF.1'!E230,'CF.2'!$J$102:$J$108)+SUMIF('CF.2'!$K$102:$K$108,'CF.1'!E230,'CF.2'!$M$102:$M$108)</f>
        <v>0</v>
      </c>
      <c r="Q230" s="581">
        <f>SUMIF('CF.2'!$H$113:$H$121,'CF.1'!E230,'CF.2'!$J$113:$J$121)+SUMIF('CF.2'!$K$113:$K$121,'CF.1'!E230,'CF.2'!$M$113:$M$121)</f>
        <v>0</v>
      </c>
      <c r="R230" s="582">
        <f t="shared" si="25"/>
        <v>0</v>
      </c>
      <c r="T230" s="584">
        <f t="shared" si="28"/>
        <v>0</v>
      </c>
    </row>
    <row r="231" spans="3:20" ht="18" customHeight="1">
      <c r="C231" s="6">
        <v>1</v>
      </c>
      <c r="D231" s="578" t="s">
        <v>1107</v>
      </c>
      <c r="E231" s="579" t="s">
        <v>1107</v>
      </c>
      <c r="F231" s="580"/>
      <c r="G231" s="579" t="s">
        <v>1108</v>
      </c>
      <c r="H231" s="581">
        <v>0</v>
      </c>
      <c r="I231" s="581">
        <v>0</v>
      </c>
      <c r="J231" s="581">
        <v>0</v>
      </c>
      <c r="K231" s="582">
        <f t="shared" si="27"/>
        <v>0</v>
      </c>
      <c r="M231" s="583">
        <f>SUMIF('CF.2'!$H$5:$H$24,'CF.1'!E231,'CF.2'!$J$5:$J$24)-SUMIF('CF.2'!$K$5:$K$24,'CF.1'!E231,'CF.2'!$M$5:$M$24)</f>
        <v>0</v>
      </c>
      <c r="N231" s="581">
        <f>SUMIF('CF.2'!$H$30:$H$59,'CF.1'!E231,'CF.2'!$J$30:$J$59)+SUMIF('CF.2'!$K$30:$K$59,'CF.1'!E231,'CF.2'!$M$30:$M$59)</f>
        <v>0</v>
      </c>
      <c r="O231" s="581">
        <f>SUMIF('CF.2'!$H$64:$H$98,'CF.1'!E231,'CF.2'!$J$64:$J$98)+SUMIF('CF.2'!$K$64:$K$98,'CF.1'!E231,'CF.2'!$M$64:$M$98)</f>
        <v>0</v>
      </c>
      <c r="P231" s="581">
        <f>SUMIF('CF.2'!$H$102:$H$108,'CF.1'!E231,'CF.2'!$J$102:$J$108)+SUMIF('CF.2'!$K$102:$K$108,'CF.1'!E231,'CF.2'!$M$102:$M$108)</f>
        <v>0</v>
      </c>
      <c r="Q231" s="581">
        <f>SUMIF('CF.2'!$H$113:$H$121,'CF.1'!E231,'CF.2'!$J$113:$J$121)+SUMIF('CF.2'!$K$113:$K$121,'CF.1'!E231,'CF.2'!$M$113:$M$121)</f>
        <v>0</v>
      </c>
      <c r="R231" s="582">
        <f t="shared" si="25"/>
        <v>0</v>
      </c>
      <c r="T231" s="584">
        <f t="shared" si="28"/>
        <v>0</v>
      </c>
    </row>
    <row r="232" spans="3:20" ht="18" customHeight="1">
      <c r="C232" s="6">
        <v>1</v>
      </c>
      <c r="D232" s="578" t="s">
        <v>1109</v>
      </c>
      <c r="E232" s="579" t="s">
        <v>1109</v>
      </c>
      <c r="F232" s="580"/>
      <c r="G232" s="579" t="s">
        <v>1110</v>
      </c>
      <c r="H232" s="581">
        <v>0</v>
      </c>
      <c r="I232" s="581">
        <v>0</v>
      </c>
      <c r="J232" s="581">
        <v>0</v>
      </c>
      <c r="K232" s="582">
        <f t="shared" si="27"/>
        <v>0</v>
      </c>
      <c r="M232" s="583">
        <f>SUMIF('CF.2'!$H$5:$H$24,'CF.1'!E232,'CF.2'!$J$5:$J$24)-SUMIF('CF.2'!$K$5:$K$24,'CF.1'!E232,'CF.2'!$M$5:$M$24)</f>
        <v>0</v>
      </c>
      <c r="N232" s="581">
        <f>SUMIF('CF.2'!$H$30:$H$59,'CF.1'!E232,'CF.2'!$J$30:$J$59)+SUMIF('CF.2'!$K$30:$K$59,'CF.1'!E232,'CF.2'!$M$30:$M$59)</f>
        <v>0</v>
      </c>
      <c r="O232" s="581">
        <f>SUMIF('CF.2'!$H$64:$H$98,'CF.1'!E232,'CF.2'!$J$64:$J$98)+SUMIF('CF.2'!$K$64:$K$98,'CF.1'!E232,'CF.2'!$M$64:$M$98)</f>
        <v>0</v>
      </c>
      <c r="P232" s="581">
        <f>SUMIF('CF.2'!$H$102:$H$108,'CF.1'!E232,'CF.2'!$J$102:$J$108)+SUMIF('CF.2'!$K$102:$K$108,'CF.1'!E232,'CF.2'!$M$102:$M$108)</f>
        <v>0</v>
      </c>
      <c r="Q232" s="581">
        <f>SUMIF('CF.2'!$H$113:$H$121,'CF.1'!E232,'CF.2'!$J$113:$J$121)+SUMIF('CF.2'!$K$113:$K$121,'CF.1'!E232,'CF.2'!$M$113:$M$121)</f>
        <v>0</v>
      </c>
      <c r="R232" s="582">
        <f t="shared" si="25"/>
        <v>0</v>
      </c>
      <c r="T232" s="584">
        <f t="shared" si="28"/>
        <v>0</v>
      </c>
    </row>
    <row r="233" spans="3:20" ht="18" customHeight="1">
      <c r="C233" s="6">
        <v>1</v>
      </c>
      <c r="D233" s="578" t="s">
        <v>1111</v>
      </c>
      <c r="E233" s="579" t="s">
        <v>1111</v>
      </c>
      <c r="F233" s="580"/>
      <c r="G233" s="579" t="s">
        <v>1112</v>
      </c>
      <c r="H233" s="581">
        <v>0</v>
      </c>
      <c r="I233" s="581">
        <v>0</v>
      </c>
      <c r="J233" s="581">
        <v>0</v>
      </c>
      <c r="K233" s="582">
        <f t="shared" si="27"/>
        <v>0</v>
      </c>
      <c r="M233" s="583">
        <f>SUMIF('CF.2'!$H$5:$H$24,'CF.1'!E233,'CF.2'!$J$5:$J$24)-SUMIF('CF.2'!$K$5:$K$24,'CF.1'!E233,'CF.2'!$M$5:$M$24)</f>
        <v>0</v>
      </c>
      <c r="N233" s="581">
        <f>SUMIF('CF.2'!$H$30:$H$59,'CF.1'!E233,'CF.2'!$J$30:$J$59)+SUMIF('CF.2'!$K$30:$K$59,'CF.1'!E233,'CF.2'!$M$30:$M$59)</f>
        <v>0</v>
      </c>
      <c r="O233" s="581">
        <f>SUMIF('CF.2'!$H$64:$H$98,'CF.1'!E233,'CF.2'!$J$64:$J$98)+SUMIF('CF.2'!$K$64:$K$98,'CF.1'!E233,'CF.2'!$M$64:$M$98)</f>
        <v>0</v>
      </c>
      <c r="P233" s="581">
        <f>SUMIF('CF.2'!$H$102:$H$108,'CF.1'!E233,'CF.2'!$J$102:$J$108)+SUMIF('CF.2'!$K$102:$K$108,'CF.1'!E233,'CF.2'!$M$102:$M$108)</f>
        <v>0</v>
      </c>
      <c r="Q233" s="581">
        <f>SUMIF('CF.2'!$H$113:$H$121,'CF.1'!E233,'CF.2'!$J$113:$J$121)+SUMIF('CF.2'!$K$113:$K$121,'CF.1'!E233,'CF.2'!$M$113:$M$121)</f>
        <v>0</v>
      </c>
      <c r="R233" s="582">
        <f t="shared" si="25"/>
        <v>0</v>
      </c>
      <c r="T233" s="584">
        <f t="shared" si="28"/>
        <v>0</v>
      </c>
    </row>
    <row r="234" spans="3:20" ht="18" customHeight="1">
      <c r="C234" s="6">
        <v>1</v>
      </c>
      <c r="D234" s="578" t="s">
        <v>1113</v>
      </c>
      <c r="E234" s="579" t="s">
        <v>1113</v>
      </c>
      <c r="F234" s="580"/>
      <c r="G234" s="579" t="s">
        <v>1114</v>
      </c>
      <c r="H234" s="581">
        <v>0</v>
      </c>
      <c r="I234" s="581">
        <v>0</v>
      </c>
      <c r="J234" s="581">
        <v>0</v>
      </c>
      <c r="K234" s="582">
        <f t="shared" si="27"/>
        <v>0</v>
      </c>
      <c r="M234" s="583">
        <f>SUMIF('CF.2'!$H$5:$H$24,'CF.1'!E234,'CF.2'!$J$5:$J$24)-SUMIF('CF.2'!$K$5:$K$24,'CF.1'!E234,'CF.2'!$M$5:$M$24)</f>
        <v>0</v>
      </c>
      <c r="N234" s="581">
        <f>SUMIF('CF.2'!$H$30:$H$59,'CF.1'!E234,'CF.2'!$J$30:$J$59)+SUMIF('CF.2'!$K$30:$K$59,'CF.1'!E234,'CF.2'!$M$30:$M$59)</f>
        <v>0</v>
      </c>
      <c r="O234" s="581">
        <f>SUMIF('CF.2'!$H$64:$H$98,'CF.1'!E234,'CF.2'!$J$64:$J$98)+SUMIF('CF.2'!$K$64:$K$98,'CF.1'!E234,'CF.2'!$M$64:$M$98)</f>
        <v>0</v>
      </c>
      <c r="P234" s="581">
        <f>SUMIF('CF.2'!$H$102:$H$108,'CF.1'!E234,'CF.2'!$J$102:$J$108)+SUMIF('CF.2'!$K$102:$K$108,'CF.1'!E234,'CF.2'!$M$102:$M$108)</f>
        <v>0</v>
      </c>
      <c r="Q234" s="581">
        <f>SUMIF('CF.2'!$H$113:$H$121,'CF.1'!E234,'CF.2'!$J$113:$J$121)+SUMIF('CF.2'!$K$113:$K$121,'CF.1'!E234,'CF.2'!$M$113:$M$121)</f>
        <v>0</v>
      </c>
      <c r="R234" s="582">
        <f t="shared" si="25"/>
        <v>0</v>
      </c>
      <c r="T234" s="584">
        <f t="shared" si="28"/>
        <v>0</v>
      </c>
    </row>
    <row r="235" spans="3:20" ht="18" customHeight="1">
      <c r="C235" s="6">
        <v>1</v>
      </c>
      <c r="D235" s="578" t="s">
        <v>1115</v>
      </c>
      <c r="E235" s="579" t="s">
        <v>1115</v>
      </c>
      <c r="F235" s="580"/>
      <c r="G235" s="579" t="s">
        <v>1116</v>
      </c>
      <c r="H235" s="581">
        <v>0</v>
      </c>
      <c r="I235" s="581">
        <v>0</v>
      </c>
      <c r="J235" s="581">
        <v>0</v>
      </c>
      <c r="K235" s="582">
        <f t="shared" si="27"/>
        <v>0</v>
      </c>
      <c r="M235" s="583">
        <f>SUMIF('CF.2'!$H$5:$H$24,'CF.1'!E235,'CF.2'!$J$5:$J$24)-SUMIF('CF.2'!$K$5:$K$24,'CF.1'!E235,'CF.2'!$M$5:$M$24)</f>
        <v>0</v>
      </c>
      <c r="N235" s="581">
        <f>SUMIF('CF.2'!$H$30:$H$59,'CF.1'!E235,'CF.2'!$J$30:$J$59)+SUMIF('CF.2'!$K$30:$K$59,'CF.1'!E235,'CF.2'!$M$30:$M$59)</f>
        <v>0</v>
      </c>
      <c r="O235" s="581">
        <f>SUMIF('CF.2'!$H$64:$H$98,'CF.1'!E235,'CF.2'!$J$64:$J$98)+SUMIF('CF.2'!$K$64:$K$98,'CF.1'!E235,'CF.2'!$M$64:$M$98)</f>
        <v>0</v>
      </c>
      <c r="P235" s="581">
        <f>SUMIF('CF.2'!$H$102:$H$108,'CF.1'!E235,'CF.2'!$J$102:$J$108)+SUMIF('CF.2'!$K$102:$K$108,'CF.1'!E235,'CF.2'!$M$102:$M$108)</f>
        <v>0</v>
      </c>
      <c r="Q235" s="581">
        <f>SUMIF('CF.2'!$H$113:$H$121,'CF.1'!E235,'CF.2'!$J$113:$J$121)+SUMIF('CF.2'!$K$113:$K$121,'CF.1'!E235,'CF.2'!$M$113:$M$121)</f>
        <v>0</v>
      </c>
      <c r="R235" s="582">
        <f t="shared" si="25"/>
        <v>0</v>
      </c>
      <c r="T235" s="584">
        <f t="shared" si="28"/>
        <v>0</v>
      </c>
    </row>
    <row r="236" spans="3:20" ht="18" customHeight="1">
      <c r="C236" s="6">
        <v>1</v>
      </c>
      <c r="D236" s="578" t="s">
        <v>1117</v>
      </c>
      <c r="E236" s="579" t="s">
        <v>1117</v>
      </c>
      <c r="F236" s="580"/>
      <c r="G236" s="579" t="s">
        <v>1118</v>
      </c>
      <c r="H236" s="581">
        <v>0</v>
      </c>
      <c r="I236" s="581">
        <v>0</v>
      </c>
      <c r="J236" s="581">
        <v>0</v>
      </c>
      <c r="K236" s="582">
        <f t="shared" si="27"/>
        <v>0</v>
      </c>
      <c r="M236" s="583">
        <f>SUMIF('CF.2'!$H$5:$H$24,'CF.1'!E236,'CF.2'!$J$5:$J$24)-SUMIF('CF.2'!$K$5:$K$24,'CF.1'!E236,'CF.2'!$M$5:$M$24)</f>
        <v>0</v>
      </c>
      <c r="N236" s="581">
        <f>SUMIF('CF.2'!$H$30:$H$59,'CF.1'!E236,'CF.2'!$J$30:$J$59)+SUMIF('CF.2'!$K$30:$K$59,'CF.1'!E236,'CF.2'!$M$30:$M$59)</f>
        <v>0</v>
      </c>
      <c r="O236" s="581">
        <f>SUMIF('CF.2'!$H$64:$H$98,'CF.1'!E236,'CF.2'!$J$64:$J$98)+SUMIF('CF.2'!$K$64:$K$98,'CF.1'!E236,'CF.2'!$M$64:$M$98)</f>
        <v>0</v>
      </c>
      <c r="P236" s="581">
        <f>SUMIF('CF.2'!$H$102:$H$108,'CF.1'!E236,'CF.2'!$J$102:$J$108)+SUMIF('CF.2'!$K$102:$K$108,'CF.1'!E236,'CF.2'!$M$102:$M$108)</f>
        <v>0</v>
      </c>
      <c r="Q236" s="581">
        <f>SUMIF('CF.2'!$H$113:$H$121,'CF.1'!E236,'CF.2'!$J$113:$J$121)+SUMIF('CF.2'!$K$113:$K$121,'CF.1'!E236,'CF.2'!$M$113:$M$121)</f>
        <v>0</v>
      </c>
      <c r="R236" s="582">
        <f t="shared" si="25"/>
        <v>0</v>
      </c>
      <c r="T236" s="584">
        <f t="shared" si="28"/>
        <v>0</v>
      </c>
    </row>
    <row r="237" spans="3:20" ht="18" customHeight="1">
      <c r="C237" s="6">
        <v>1</v>
      </c>
      <c r="D237" s="578" t="s">
        <v>1119</v>
      </c>
      <c r="E237" s="579" t="s">
        <v>1119</v>
      </c>
      <c r="F237" s="580"/>
      <c r="G237" s="579" t="s">
        <v>1120</v>
      </c>
      <c r="H237" s="581">
        <v>0</v>
      </c>
      <c r="I237" s="581">
        <v>0</v>
      </c>
      <c r="J237" s="581">
        <v>0</v>
      </c>
      <c r="K237" s="582">
        <f t="shared" si="27"/>
        <v>0</v>
      </c>
      <c r="M237" s="583">
        <f>SUMIF('CF.2'!$H$5:$H$24,'CF.1'!E237,'CF.2'!$J$5:$J$24)-SUMIF('CF.2'!$K$5:$K$24,'CF.1'!E237,'CF.2'!$M$5:$M$24)</f>
        <v>0</v>
      </c>
      <c r="N237" s="581">
        <f>SUMIF('CF.2'!$H$30:$H$59,'CF.1'!E237,'CF.2'!$J$30:$J$59)+SUMIF('CF.2'!$K$30:$K$59,'CF.1'!E237,'CF.2'!$M$30:$M$59)</f>
        <v>0</v>
      </c>
      <c r="O237" s="581">
        <f>SUMIF('CF.2'!$H$64:$H$98,'CF.1'!E237,'CF.2'!$J$64:$J$98)+SUMIF('CF.2'!$K$64:$K$98,'CF.1'!E237,'CF.2'!$M$64:$M$98)</f>
        <v>0</v>
      </c>
      <c r="P237" s="581">
        <f>SUMIF('CF.2'!$H$102:$H$108,'CF.1'!E237,'CF.2'!$J$102:$J$108)+SUMIF('CF.2'!$K$102:$K$108,'CF.1'!E237,'CF.2'!$M$102:$M$108)</f>
        <v>0</v>
      </c>
      <c r="Q237" s="581">
        <f>SUMIF('CF.2'!$H$113:$H$121,'CF.1'!E237,'CF.2'!$J$113:$J$121)+SUMIF('CF.2'!$K$113:$K$121,'CF.1'!E237,'CF.2'!$M$113:$M$121)</f>
        <v>0</v>
      </c>
      <c r="R237" s="582">
        <f t="shared" si="25"/>
        <v>0</v>
      </c>
      <c r="T237" s="584">
        <f t="shared" si="28"/>
        <v>0</v>
      </c>
    </row>
    <row r="238" spans="3:20" ht="18" customHeight="1">
      <c r="C238" s="6">
        <v>1</v>
      </c>
      <c r="D238" s="578" t="s">
        <v>1121</v>
      </c>
      <c r="E238" s="579" t="s">
        <v>1121</v>
      </c>
      <c r="F238" s="580"/>
      <c r="G238" s="579" t="s">
        <v>1122</v>
      </c>
      <c r="H238" s="581">
        <v>0</v>
      </c>
      <c r="I238" s="581">
        <v>0</v>
      </c>
      <c r="J238" s="581">
        <v>0</v>
      </c>
      <c r="K238" s="582">
        <f t="shared" si="27"/>
        <v>0</v>
      </c>
      <c r="M238" s="583">
        <f>SUMIF('CF.2'!$H$5:$H$24,'CF.1'!E238,'CF.2'!$J$5:$J$24)-SUMIF('CF.2'!$K$5:$K$24,'CF.1'!E238,'CF.2'!$M$5:$M$24)</f>
        <v>0</v>
      </c>
      <c r="N238" s="581">
        <f>SUMIF('CF.2'!$H$30:$H$59,'CF.1'!E238,'CF.2'!$J$30:$J$59)+SUMIF('CF.2'!$K$30:$K$59,'CF.1'!E238,'CF.2'!$M$30:$M$59)</f>
        <v>0</v>
      </c>
      <c r="O238" s="581">
        <f>SUMIF('CF.2'!$H$64:$H$98,'CF.1'!E238,'CF.2'!$J$64:$J$98)+SUMIF('CF.2'!$K$64:$K$98,'CF.1'!E238,'CF.2'!$M$64:$M$98)</f>
        <v>0</v>
      </c>
      <c r="P238" s="581">
        <f>SUMIF('CF.2'!$H$102:$H$108,'CF.1'!E238,'CF.2'!$J$102:$J$108)+SUMIF('CF.2'!$K$102:$K$108,'CF.1'!E238,'CF.2'!$M$102:$M$108)</f>
        <v>0</v>
      </c>
      <c r="Q238" s="581">
        <f>SUMIF('CF.2'!$H$113:$H$121,'CF.1'!E238,'CF.2'!$J$113:$J$121)+SUMIF('CF.2'!$K$113:$K$121,'CF.1'!E238,'CF.2'!$M$113:$M$121)</f>
        <v>0</v>
      </c>
      <c r="R238" s="582">
        <f t="shared" si="25"/>
        <v>0</v>
      </c>
      <c r="T238" s="584">
        <f t="shared" si="28"/>
        <v>0</v>
      </c>
    </row>
    <row r="239" spans="3:20" ht="18" customHeight="1">
      <c r="C239" s="6">
        <v>1</v>
      </c>
      <c r="D239" s="578" t="s">
        <v>1123</v>
      </c>
      <c r="E239" s="579" t="s">
        <v>1123</v>
      </c>
      <c r="F239" s="580"/>
      <c r="G239" s="579" t="s">
        <v>1124</v>
      </c>
      <c r="H239" s="581">
        <v>0</v>
      </c>
      <c r="I239" s="581">
        <v>0</v>
      </c>
      <c r="J239" s="581">
        <v>0</v>
      </c>
      <c r="K239" s="582">
        <f t="shared" si="27"/>
        <v>0</v>
      </c>
      <c r="M239" s="583">
        <f>SUMIF('CF.2'!$H$5:$H$24,'CF.1'!E239,'CF.2'!$J$5:$J$24)-SUMIF('CF.2'!$K$5:$K$24,'CF.1'!E239,'CF.2'!$M$5:$M$24)</f>
        <v>0</v>
      </c>
      <c r="N239" s="581">
        <f>SUMIF('CF.2'!$H$30:$H$59,'CF.1'!E239,'CF.2'!$J$30:$J$59)+SUMIF('CF.2'!$K$30:$K$59,'CF.1'!E239,'CF.2'!$M$30:$M$59)</f>
        <v>0</v>
      </c>
      <c r="O239" s="581">
        <f>SUMIF('CF.2'!$H$64:$H$98,'CF.1'!E239,'CF.2'!$J$64:$J$98)+SUMIF('CF.2'!$K$64:$K$98,'CF.1'!E239,'CF.2'!$M$64:$M$98)</f>
        <v>0</v>
      </c>
      <c r="P239" s="581">
        <f>SUMIF('CF.2'!$H$102:$H$108,'CF.1'!E239,'CF.2'!$J$102:$J$108)+SUMIF('CF.2'!$K$102:$K$108,'CF.1'!E239,'CF.2'!$M$102:$M$108)</f>
        <v>0</v>
      </c>
      <c r="Q239" s="581">
        <f>SUMIF('CF.2'!$H$113:$H$121,'CF.1'!E239,'CF.2'!$J$113:$J$121)+SUMIF('CF.2'!$K$113:$K$121,'CF.1'!E239,'CF.2'!$M$113:$M$121)</f>
        <v>0</v>
      </c>
      <c r="R239" s="582">
        <f t="shared" si="25"/>
        <v>0</v>
      </c>
      <c r="T239" s="584">
        <f t="shared" si="28"/>
        <v>0</v>
      </c>
    </row>
    <row r="240" spans="3:20" ht="18" customHeight="1">
      <c r="C240" s="6">
        <v>1</v>
      </c>
      <c r="D240" s="578" t="s">
        <v>1125</v>
      </c>
      <c r="E240" s="579" t="s">
        <v>1125</v>
      </c>
      <c r="F240" s="580"/>
      <c r="G240" s="579" t="s">
        <v>1126</v>
      </c>
      <c r="H240" s="581">
        <v>0</v>
      </c>
      <c r="I240" s="581">
        <v>0</v>
      </c>
      <c r="J240" s="581">
        <v>0</v>
      </c>
      <c r="K240" s="582">
        <f t="shared" si="27"/>
        <v>0</v>
      </c>
      <c r="M240" s="583">
        <f>SUMIF('CF.2'!$H$5:$H$24,'CF.1'!E240,'CF.2'!$J$5:$J$24)-SUMIF('CF.2'!$K$5:$K$24,'CF.1'!E240,'CF.2'!$M$5:$M$24)</f>
        <v>0</v>
      </c>
      <c r="N240" s="581">
        <f>SUMIF('CF.2'!$H$30:$H$59,'CF.1'!E240,'CF.2'!$J$30:$J$59)+SUMIF('CF.2'!$K$30:$K$59,'CF.1'!E240,'CF.2'!$M$30:$M$59)</f>
        <v>0</v>
      </c>
      <c r="O240" s="581">
        <f>SUMIF('CF.2'!$H$64:$H$98,'CF.1'!E240,'CF.2'!$J$64:$J$98)+SUMIF('CF.2'!$K$64:$K$98,'CF.1'!E240,'CF.2'!$M$64:$M$98)</f>
        <v>0</v>
      </c>
      <c r="P240" s="581">
        <f>SUMIF('CF.2'!$H$102:$H$108,'CF.1'!E240,'CF.2'!$J$102:$J$108)+SUMIF('CF.2'!$K$102:$K$108,'CF.1'!E240,'CF.2'!$M$102:$M$108)</f>
        <v>0</v>
      </c>
      <c r="Q240" s="581">
        <f>SUMIF('CF.2'!$H$113:$H$121,'CF.1'!E240,'CF.2'!$J$113:$J$121)+SUMIF('CF.2'!$K$113:$K$121,'CF.1'!E240,'CF.2'!$M$113:$M$121)</f>
        <v>0</v>
      </c>
      <c r="R240" s="582">
        <f t="shared" si="25"/>
        <v>0</v>
      </c>
      <c r="T240" s="584">
        <f t="shared" si="28"/>
        <v>0</v>
      </c>
    </row>
    <row r="241" spans="3:22" ht="18" customHeight="1">
      <c r="C241" s="6">
        <v>1</v>
      </c>
      <c r="D241" s="571" t="s">
        <v>1127</v>
      </c>
      <c r="E241" s="572" t="s">
        <v>1127</v>
      </c>
      <c r="F241" s="573"/>
      <c r="G241" s="572" t="s">
        <v>1128</v>
      </c>
      <c r="H241" s="574">
        <f>SUM(H242:H299)</f>
        <v>-4498602670</v>
      </c>
      <c r="I241" s="574">
        <f>SUM(I242:I299)</f>
        <v>-1957628</v>
      </c>
      <c r="J241" s="574">
        <f>SUM(J242:J299)</f>
        <v>-2423430</v>
      </c>
      <c r="K241" s="575">
        <f>SUM(K242:K299)</f>
        <v>-4502983728</v>
      </c>
      <c r="M241" s="576">
        <f t="shared" ref="M241:R241" si="29">SUM(M242:M299)</f>
        <v>0</v>
      </c>
      <c r="N241" s="574">
        <f t="shared" si="29"/>
        <v>0</v>
      </c>
      <c r="O241" s="574">
        <f t="shared" si="29"/>
        <v>0</v>
      </c>
      <c r="P241" s="574">
        <f t="shared" si="29"/>
        <v>0</v>
      </c>
      <c r="Q241" s="574">
        <f t="shared" si="29"/>
        <v>0</v>
      </c>
      <c r="R241" s="575">
        <f t="shared" si="29"/>
        <v>0</v>
      </c>
      <c r="T241" s="577">
        <f>SUM(T242:T299)</f>
        <v>-4502983728</v>
      </c>
    </row>
    <row r="242" spans="3:22" ht="18" customHeight="1">
      <c r="C242" s="6">
        <v>1</v>
      </c>
      <c r="D242" s="578" t="s">
        <v>1129</v>
      </c>
      <c r="E242" s="579" t="s">
        <v>1129</v>
      </c>
      <c r="F242" s="580"/>
      <c r="G242" s="579" t="s">
        <v>1130</v>
      </c>
      <c r="H242" s="581">
        <v>0</v>
      </c>
      <c r="I242" s="581">
        <v>0</v>
      </c>
      <c r="J242" s="581">
        <v>0</v>
      </c>
      <c r="K242" s="582">
        <f t="shared" ref="K242:K273" si="30">SUM(H242:J242)</f>
        <v>0</v>
      </c>
      <c r="M242" s="583">
        <f>SUMIF('CF.2'!$H$5:$H$24,'CF.1'!E242,'CF.2'!$J$5:$J$24)-SUMIF('CF.2'!$K$5:$K$24,'CF.1'!E242,'CF.2'!$M$5:$M$24)</f>
        <v>0</v>
      </c>
      <c r="N242" s="581">
        <f>SUMIF('CF.2'!$H$30:$H$59,'CF.1'!E242,'CF.2'!$J$30:$J$59)+SUMIF('CF.2'!$K$30:$K$59,'CF.1'!E242,'CF.2'!$M$30:$M$59)</f>
        <v>0</v>
      </c>
      <c r="O242" s="581">
        <f>SUMIF('CF.2'!$H$64:$H$98,'CF.1'!E242,'CF.2'!$J$64:$J$98)+SUMIF('CF.2'!$K$64:$K$98,'CF.1'!E242,'CF.2'!$M$64:$M$98)</f>
        <v>0</v>
      </c>
      <c r="P242" s="581">
        <f>SUMIF('CF.2'!$H$102:$H$108,'CF.1'!E242,'CF.2'!$J$102:$J$108)+SUMIF('CF.2'!$K$102:$K$108,'CF.1'!E242,'CF.2'!$M$102:$M$108)</f>
        <v>0</v>
      </c>
      <c r="Q242" s="581">
        <f>SUMIF('CF.2'!$H$113:$H$121,'CF.1'!E242,'CF.2'!$J$113:$J$121)+SUMIF('CF.2'!$K$113:$K$121,'CF.1'!E242,'CF.2'!$M$113:$M$121)</f>
        <v>0</v>
      </c>
      <c r="R242" s="582">
        <f>SUM(M242:Q242)</f>
        <v>0</v>
      </c>
      <c r="T242" s="584">
        <f t="shared" ref="T242:T273" si="31">ROUND(R242+K242,0)</f>
        <v>0</v>
      </c>
    </row>
    <row r="243" spans="3:22" ht="18" customHeight="1">
      <c r="C243" s="6">
        <v>1</v>
      </c>
      <c r="D243" s="578" t="s">
        <v>1131</v>
      </c>
      <c r="E243" s="579" t="s">
        <v>1131</v>
      </c>
      <c r="F243" s="580" t="s">
        <v>1485</v>
      </c>
      <c r="G243" s="579" t="s">
        <v>1132</v>
      </c>
      <c r="H243" s="581">
        <v>0</v>
      </c>
      <c r="I243" s="581">
        <v>0</v>
      </c>
      <c r="J243" s="581">
        <v>0</v>
      </c>
      <c r="K243" s="582">
        <f t="shared" si="30"/>
        <v>0</v>
      </c>
      <c r="M243" s="583">
        <f>SUMIF('CF.2'!$H$5:$H$24,'CF.1'!E243,'CF.2'!$J$5:$J$24)-SUMIF('CF.2'!$K$5:$K$24,'CF.1'!E243,'CF.2'!$M$5:$M$24)</f>
        <v>0</v>
      </c>
      <c r="N243" s="581">
        <f>SUMIF('CF.2'!$H$30:$H$59,'CF.1'!E243,'CF.2'!$J$30:$J$59)+SUMIF('CF.2'!$K$30:$K$59,'CF.1'!E243,'CF.2'!$M$30:$M$59)</f>
        <v>0</v>
      </c>
      <c r="O243" s="581">
        <f>SUMIF('CF.2'!$H$64:$H$98,'CF.1'!E243,'CF.2'!$J$64:$J$98)+SUMIF('CF.2'!$K$64:$K$98,'CF.1'!E243,'CF.2'!$M$64:$M$98)</f>
        <v>0</v>
      </c>
      <c r="P243" s="581">
        <f>SUMIF('CF.2'!$H$102:$H$108,'CF.1'!E243,'CF.2'!$J$102:$J$108)+SUMIF('CF.2'!$K$102:$K$108,'CF.1'!E243,'CF.2'!$M$102:$M$108)</f>
        <v>0</v>
      </c>
      <c r="Q243" s="581">
        <f>SUMIF('CF.2'!$H$113:$H$121,'CF.1'!E243,'CF.2'!$J$113:$J$121)+SUMIF('CF.2'!$K$113:$K$121,'CF.1'!E243,'CF.2'!$M$113:$M$121)</f>
        <v>0</v>
      </c>
      <c r="R243" s="582">
        <f t="shared" ref="R243:R299" si="32">SUM(M243:Q243)</f>
        <v>0</v>
      </c>
      <c r="T243" s="584">
        <f t="shared" si="31"/>
        <v>0</v>
      </c>
    </row>
    <row r="244" spans="3:22" ht="18" customHeight="1">
      <c r="C244" s="6">
        <v>1</v>
      </c>
      <c r="D244" s="578" t="s">
        <v>1133</v>
      </c>
      <c r="E244" s="579" t="s">
        <v>1133</v>
      </c>
      <c r="F244" s="580"/>
      <c r="G244" s="579" t="s">
        <v>1134</v>
      </c>
      <c r="H244" s="581">
        <v>0</v>
      </c>
      <c r="I244" s="581">
        <v>0</v>
      </c>
      <c r="J244" s="581">
        <v>0</v>
      </c>
      <c r="K244" s="582">
        <f t="shared" si="30"/>
        <v>0</v>
      </c>
      <c r="M244" s="583">
        <f>SUMIF('CF.2'!$H$5:$H$24,'CF.1'!E244,'CF.2'!$J$5:$J$24)-SUMIF('CF.2'!$K$5:$K$24,'CF.1'!E244,'CF.2'!$M$5:$M$24)</f>
        <v>0</v>
      </c>
      <c r="N244" s="581">
        <f>SUMIF('CF.2'!$H$30:$H$59,'CF.1'!E244,'CF.2'!$J$30:$J$59)+SUMIF('CF.2'!$K$30:$K$59,'CF.1'!E244,'CF.2'!$M$30:$M$59)</f>
        <v>0</v>
      </c>
      <c r="O244" s="581">
        <f>SUMIF('CF.2'!$H$64:$H$98,'CF.1'!E244,'CF.2'!$J$64:$J$98)+SUMIF('CF.2'!$K$64:$K$98,'CF.1'!E244,'CF.2'!$M$64:$M$98)</f>
        <v>0</v>
      </c>
      <c r="P244" s="581">
        <f>SUMIF('CF.2'!$H$102:$H$108,'CF.1'!E244,'CF.2'!$J$102:$J$108)+SUMIF('CF.2'!$K$102:$K$108,'CF.1'!E244,'CF.2'!$M$102:$M$108)</f>
        <v>0</v>
      </c>
      <c r="Q244" s="581">
        <f>SUMIF('CF.2'!$H$113:$H$121,'CF.1'!E244,'CF.2'!$J$113:$J$121)+SUMIF('CF.2'!$K$113:$K$121,'CF.1'!E244,'CF.2'!$M$113:$M$121)</f>
        <v>0</v>
      </c>
      <c r="R244" s="582">
        <f t="shared" si="32"/>
        <v>0</v>
      </c>
      <c r="T244" s="584">
        <f t="shared" si="31"/>
        <v>0</v>
      </c>
    </row>
    <row r="245" spans="3:22" ht="18" customHeight="1">
      <c r="C245" s="6">
        <v>1</v>
      </c>
      <c r="D245" s="578" t="s">
        <v>1135</v>
      </c>
      <c r="E245" s="579" t="s">
        <v>1135</v>
      </c>
      <c r="F245" s="580"/>
      <c r="G245" s="579" t="s">
        <v>1136</v>
      </c>
      <c r="H245" s="581">
        <v>0</v>
      </c>
      <c r="I245" s="581">
        <v>0</v>
      </c>
      <c r="J245" s="581">
        <v>0</v>
      </c>
      <c r="K245" s="582">
        <f t="shared" si="30"/>
        <v>0</v>
      </c>
      <c r="M245" s="583">
        <f>SUMIF('CF.2'!$H$5:$H$24,'CF.1'!E245,'CF.2'!$J$5:$J$24)-SUMIF('CF.2'!$K$5:$K$24,'CF.1'!E245,'CF.2'!$M$5:$M$24)</f>
        <v>0</v>
      </c>
      <c r="N245" s="581">
        <f>SUMIF('CF.2'!$H$30:$H$59,'CF.1'!E245,'CF.2'!$J$30:$J$59)+SUMIF('CF.2'!$K$30:$K$59,'CF.1'!E245,'CF.2'!$M$30:$M$59)</f>
        <v>0</v>
      </c>
      <c r="O245" s="581">
        <f>SUMIF('CF.2'!$H$64:$H$98,'CF.1'!E245,'CF.2'!$J$64:$J$98)+SUMIF('CF.2'!$K$64:$K$98,'CF.1'!E245,'CF.2'!$M$64:$M$98)</f>
        <v>0</v>
      </c>
      <c r="P245" s="581">
        <f>SUMIF('CF.2'!$H$102:$H$108,'CF.1'!E245,'CF.2'!$J$102:$J$108)+SUMIF('CF.2'!$K$102:$K$108,'CF.1'!E245,'CF.2'!$M$102:$M$108)</f>
        <v>0</v>
      </c>
      <c r="Q245" s="581">
        <f>SUMIF('CF.2'!$H$113:$H$121,'CF.1'!E245,'CF.2'!$J$113:$J$121)+SUMIF('CF.2'!$K$113:$K$121,'CF.1'!E245,'CF.2'!$M$113:$M$121)</f>
        <v>0</v>
      </c>
      <c r="R245" s="582">
        <f t="shared" si="32"/>
        <v>0</v>
      </c>
      <c r="T245" s="584">
        <f t="shared" si="31"/>
        <v>0</v>
      </c>
    </row>
    <row r="246" spans="3:22" ht="18" customHeight="1">
      <c r="C246" s="6">
        <v>1</v>
      </c>
      <c r="D246" s="578" t="s">
        <v>1137</v>
      </c>
      <c r="E246" s="579" t="s">
        <v>1137</v>
      </c>
      <c r="F246" s="580" t="s">
        <v>1138</v>
      </c>
      <c r="G246" s="579" t="s">
        <v>1138</v>
      </c>
      <c r="H246" s="581">
        <v>0</v>
      </c>
      <c r="I246" s="581">
        <v>0</v>
      </c>
      <c r="J246" s="581">
        <v>0</v>
      </c>
      <c r="K246" s="582">
        <f t="shared" si="30"/>
        <v>0</v>
      </c>
      <c r="M246" s="583">
        <f>SUMIF('CF.2'!$H$5:$H$24,'CF.1'!E246,'CF.2'!$J$5:$J$24)-SUMIF('CF.2'!$K$5:$K$24,'CF.1'!E246,'CF.2'!$M$5:$M$24)</f>
        <v>0</v>
      </c>
      <c r="N246" s="581">
        <f>SUMIF('CF.2'!$H$30:$H$59,'CF.1'!E246,'CF.2'!$J$30:$J$59)+SUMIF('CF.2'!$K$30:$K$59,'CF.1'!E246,'CF.2'!$M$30:$M$59)</f>
        <v>0</v>
      </c>
      <c r="O246" s="581">
        <f>SUMIF('CF.2'!$H$64:$H$98,'CF.1'!E246,'CF.2'!$J$64:$J$98)+SUMIF('CF.2'!$K$64:$K$98,'CF.1'!E246,'CF.2'!$M$64:$M$98)</f>
        <v>0</v>
      </c>
      <c r="P246" s="581">
        <f>SUMIF('CF.2'!$H$102:$H$108,'CF.1'!E246,'CF.2'!$J$102:$J$108)+SUMIF('CF.2'!$K$102:$K$108,'CF.1'!E246,'CF.2'!$M$102:$M$108)</f>
        <v>0</v>
      </c>
      <c r="Q246" s="581">
        <f>SUMIF('CF.2'!$H$113:$H$121,'CF.1'!E246,'CF.2'!$J$113:$J$121)+SUMIF('CF.2'!$K$113:$K$121,'CF.1'!E246,'CF.2'!$M$113:$M$121)</f>
        <v>0</v>
      </c>
      <c r="R246" s="582">
        <f t="shared" si="32"/>
        <v>0</v>
      </c>
      <c r="T246" s="584">
        <f t="shared" si="31"/>
        <v>0</v>
      </c>
      <c r="V246" s="6" t="b">
        <f>T246=H246</f>
        <v>1</v>
      </c>
    </row>
    <row r="247" spans="3:22" ht="18" customHeight="1">
      <c r="C247" s="6">
        <v>1</v>
      </c>
      <c r="D247" s="578" t="s">
        <v>1139</v>
      </c>
      <c r="E247" s="579" t="s">
        <v>1139</v>
      </c>
      <c r="F247" s="580"/>
      <c r="G247" s="579" t="s">
        <v>1140</v>
      </c>
      <c r="H247" s="581">
        <v>0</v>
      </c>
      <c r="I247" s="581">
        <v>0</v>
      </c>
      <c r="J247" s="581">
        <v>0</v>
      </c>
      <c r="K247" s="582">
        <f t="shared" si="30"/>
        <v>0</v>
      </c>
      <c r="M247" s="583">
        <f>SUMIF('CF.2'!$H$5:$H$24,'CF.1'!E247,'CF.2'!$J$5:$J$24)-SUMIF('CF.2'!$K$5:$K$24,'CF.1'!E247,'CF.2'!$M$5:$M$24)</f>
        <v>0</v>
      </c>
      <c r="N247" s="581">
        <f>SUMIF('CF.2'!$H$30:$H$59,'CF.1'!E247,'CF.2'!$J$30:$J$59)+SUMIF('CF.2'!$K$30:$K$59,'CF.1'!E247,'CF.2'!$M$30:$M$59)</f>
        <v>0</v>
      </c>
      <c r="O247" s="581">
        <f>SUMIF('CF.2'!$H$64:$H$98,'CF.1'!E247,'CF.2'!$J$64:$J$98)+SUMIF('CF.2'!$K$64:$K$98,'CF.1'!E247,'CF.2'!$M$64:$M$98)</f>
        <v>0</v>
      </c>
      <c r="P247" s="581">
        <f>SUMIF('CF.2'!$H$102:$H$108,'CF.1'!E247,'CF.2'!$J$102:$J$108)+SUMIF('CF.2'!$K$102:$K$108,'CF.1'!E247,'CF.2'!$M$102:$M$108)</f>
        <v>0</v>
      </c>
      <c r="Q247" s="581">
        <f>SUMIF('CF.2'!$H$113:$H$121,'CF.1'!E247,'CF.2'!$J$113:$J$121)+SUMIF('CF.2'!$K$113:$K$121,'CF.1'!E247,'CF.2'!$M$113:$M$121)</f>
        <v>0</v>
      </c>
      <c r="R247" s="582">
        <f t="shared" si="32"/>
        <v>0</v>
      </c>
      <c r="T247" s="584">
        <f t="shared" si="31"/>
        <v>0</v>
      </c>
    </row>
    <row r="248" spans="3:22" ht="18" customHeight="1">
      <c r="C248" s="6">
        <v>1</v>
      </c>
      <c r="D248" s="578" t="s">
        <v>1141</v>
      </c>
      <c r="E248" s="579" t="s">
        <v>1141</v>
      </c>
      <c r="F248" s="580" t="s">
        <v>1792</v>
      </c>
      <c r="G248" s="579" t="s">
        <v>1142</v>
      </c>
      <c r="H248" s="581">
        <v>0</v>
      </c>
      <c r="I248" s="581">
        <v>0</v>
      </c>
      <c r="J248" s="581">
        <v>0</v>
      </c>
      <c r="K248" s="582">
        <f t="shared" si="30"/>
        <v>0</v>
      </c>
      <c r="M248" s="583">
        <f>SUMIF('CF.2'!$H$5:$H$24,'CF.1'!E248,'CF.2'!$J$5:$J$24)-SUMIF('CF.2'!$K$5:$K$24,'CF.1'!E248,'CF.2'!$M$5:$M$24)</f>
        <v>0</v>
      </c>
      <c r="N248" s="581">
        <f>SUMIF('CF.2'!$H$30:$H$59,'CF.1'!E248,'CF.2'!$J$30:$J$59)+SUMIF('CF.2'!$K$30:$K$59,'CF.1'!E248,'CF.2'!$M$30:$M$59)</f>
        <v>0</v>
      </c>
      <c r="O248" s="581">
        <f>SUMIF('CF.2'!$H$64:$H$98,'CF.1'!E248,'CF.2'!$J$64:$J$98)+SUMIF('CF.2'!$K$64:$K$98,'CF.1'!E248,'CF.2'!$M$64:$M$98)</f>
        <v>0</v>
      </c>
      <c r="P248" s="581">
        <f>SUMIF('CF.2'!$H$102:$H$108,'CF.1'!E248,'CF.2'!$J$102:$J$108)+SUMIF('CF.2'!$K$102:$K$108,'CF.1'!E248,'CF.2'!$M$102:$M$108)</f>
        <v>0</v>
      </c>
      <c r="Q248" s="581">
        <f>SUMIF('CF.2'!$H$113:$H$121,'CF.1'!E248,'CF.2'!$J$113:$J$121)+SUMIF('CF.2'!$K$113:$K$121,'CF.1'!E248,'CF.2'!$M$113:$M$121)</f>
        <v>0</v>
      </c>
      <c r="R248" s="582">
        <f t="shared" si="32"/>
        <v>0</v>
      </c>
      <c r="T248" s="584">
        <f t="shared" si="31"/>
        <v>0</v>
      </c>
    </row>
    <row r="249" spans="3:22" ht="18" customHeight="1">
      <c r="C249" s="6">
        <v>1</v>
      </c>
      <c r="D249" s="578" t="s">
        <v>1143</v>
      </c>
      <c r="E249" s="579" t="s">
        <v>1143</v>
      </c>
      <c r="F249" s="580" t="s">
        <v>1374</v>
      </c>
      <c r="G249" s="579" t="s">
        <v>1144</v>
      </c>
      <c r="H249" s="581">
        <v>-1499086000</v>
      </c>
      <c r="I249" s="581">
        <v>0</v>
      </c>
      <c r="J249" s="581">
        <v>0</v>
      </c>
      <c r="K249" s="582">
        <f t="shared" si="30"/>
        <v>-1499086000</v>
      </c>
      <c r="M249" s="583">
        <f>SUMIF('CF.2'!$H$5:$H$24,'CF.1'!E249,'CF.2'!$J$5:$J$24)-SUMIF('CF.2'!$K$5:$K$24,'CF.1'!E249,'CF.2'!$M$5:$M$24)</f>
        <v>0</v>
      </c>
      <c r="N249" s="581">
        <f>SUMIF('CF.2'!$H$30:$H$59,'CF.1'!E249,'CF.2'!$J$30:$J$59)+SUMIF('CF.2'!$K$30:$K$59,'CF.1'!E249,'CF.2'!$M$30:$M$59)</f>
        <v>0</v>
      </c>
      <c r="O249" s="581">
        <f>SUMIF('CF.2'!$H$64:$H$98,'CF.1'!E249,'CF.2'!$J$64:$J$98)+SUMIF('CF.2'!$K$64:$K$98,'CF.1'!E249,'CF.2'!$M$64:$M$98)</f>
        <v>0</v>
      </c>
      <c r="P249" s="581">
        <f>SUMIF('CF.2'!$H$102:$H$108,'CF.1'!E249,'CF.2'!$J$102:$J$108)+SUMIF('CF.2'!$K$102:$K$108,'CF.1'!E249,'CF.2'!$M$102:$M$108)</f>
        <v>0</v>
      </c>
      <c r="Q249" s="581">
        <f>SUMIF('CF.2'!$H$113:$H$121,'CF.1'!E249,'CF.2'!$J$113:$J$121)+SUMIF('CF.2'!$K$113:$K$121,'CF.1'!E249,'CF.2'!$M$113:$M$121)</f>
        <v>0</v>
      </c>
      <c r="R249" s="582">
        <f t="shared" si="32"/>
        <v>0</v>
      </c>
      <c r="T249" s="584">
        <f t="shared" si="31"/>
        <v>-1499086000</v>
      </c>
    </row>
    <row r="250" spans="3:22" ht="18" customHeight="1">
      <c r="C250" s="6">
        <v>1</v>
      </c>
      <c r="D250" s="578" t="s">
        <v>1143</v>
      </c>
      <c r="E250" s="579" t="s">
        <v>1791</v>
      </c>
      <c r="F250" s="580" t="s">
        <v>1523</v>
      </c>
      <c r="G250" s="579" t="s">
        <v>1144</v>
      </c>
      <c r="H250" s="581">
        <v>0</v>
      </c>
      <c r="I250" s="581">
        <v>0</v>
      </c>
      <c r="J250" s="581">
        <v>0</v>
      </c>
      <c r="K250" s="582">
        <f t="shared" si="30"/>
        <v>0</v>
      </c>
      <c r="M250" s="583"/>
      <c r="N250" s="581"/>
      <c r="O250" s="581"/>
      <c r="P250" s="581"/>
      <c r="Q250" s="581"/>
      <c r="R250" s="582">
        <f t="shared" si="32"/>
        <v>0</v>
      </c>
      <c r="T250" s="584">
        <f t="shared" si="31"/>
        <v>0</v>
      </c>
    </row>
    <row r="251" spans="3:22" ht="18" customHeight="1">
      <c r="C251" s="6">
        <v>1</v>
      </c>
      <c r="D251" s="578" t="s">
        <v>1145</v>
      </c>
      <c r="E251" s="579" t="s">
        <v>1145</v>
      </c>
      <c r="F251" s="580"/>
      <c r="G251" s="579" t="s">
        <v>1146</v>
      </c>
      <c r="H251" s="581">
        <v>0</v>
      </c>
      <c r="I251" s="581">
        <v>0</v>
      </c>
      <c r="J251" s="581">
        <v>0</v>
      </c>
      <c r="K251" s="582">
        <f t="shared" si="30"/>
        <v>0</v>
      </c>
      <c r="M251" s="583">
        <f>SUMIF('CF.2'!$H$5:$H$24,'CF.1'!E251,'CF.2'!$J$5:$J$24)-SUMIF('CF.2'!$K$5:$K$24,'CF.1'!E251,'CF.2'!$M$5:$M$24)</f>
        <v>0</v>
      </c>
      <c r="N251" s="581">
        <f>SUMIF('CF.2'!$H$30:$H$59,'CF.1'!E251,'CF.2'!$J$30:$J$59)+SUMIF('CF.2'!$K$30:$K$59,'CF.1'!E251,'CF.2'!$M$30:$M$59)</f>
        <v>0</v>
      </c>
      <c r="O251" s="581">
        <f>SUMIF('CF.2'!$H$64:$H$98,'CF.1'!E251,'CF.2'!$J$64:$J$98)+SUMIF('CF.2'!$K$64:$K$98,'CF.1'!E251,'CF.2'!$M$64:$M$98)</f>
        <v>0</v>
      </c>
      <c r="P251" s="581">
        <f>SUMIF('CF.2'!$H$102:$H$108,'CF.1'!E251,'CF.2'!$J$102:$J$108)+SUMIF('CF.2'!$K$102:$K$108,'CF.1'!E251,'CF.2'!$M$102:$M$108)</f>
        <v>0</v>
      </c>
      <c r="Q251" s="581">
        <f>SUMIF('CF.2'!$H$113:$H$121,'CF.1'!E251,'CF.2'!$J$113:$J$121)+SUMIF('CF.2'!$K$113:$K$121,'CF.1'!E251,'CF.2'!$M$113:$M$121)</f>
        <v>0</v>
      </c>
      <c r="R251" s="582">
        <f t="shared" si="32"/>
        <v>0</v>
      </c>
      <c r="T251" s="584">
        <f t="shared" si="31"/>
        <v>0</v>
      </c>
    </row>
    <row r="252" spans="3:22" ht="18" customHeight="1">
      <c r="C252" s="6">
        <v>1</v>
      </c>
      <c r="D252" s="578" t="s">
        <v>1147</v>
      </c>
      <c r="E252" s="579" t="s">
        <v>1147</v>
      </c>
      <c r="F252" s="580"/>
      <c r="G252" s="579" t="s">
        <v>1148</v>
      </c>
      <c r="H252" s="581">
        <v>0</v>
      </c>
      <c r="I252" s="581">
        <v>0</v>
      </c>
      <c r="J252" s="581">
        <v>0</v>
      </c>
      <c r="K252" s="582">
        <f t="shared" si="30"/>
        <v>0</v>
      </c>
      <c r="M252" s="583">
        <f>SUMIF('CF.2'!$H$5:$H$24,'CF.1'!E252,'CF.2'!$J$5:$J$24)-SUMIF('CF.2'!$K$5:$K$24,'CF.1'!E252,'CF.2'!$M$5:$M$24)</f>
        <v>0</v>
      </c>
      <c r="N252" s="581">
        <f>SUMIF('CF.2'!$H$30:$H$59,'CF.1'!E252,'CF.2'!$J$30:$J$59)+SUMIF('CF.2'!$K$30:$K$59,'CF.1'!E252,'CF.2'!$M$30:$M$59)</f>
        <v>0</v>
      </c>
      <c r="O252" s="581">
        <f>SUMIF('CF.2'!$H$64:$H$98,'CF.1'!E252,'CF.2'!$J$64:$J$98)+SUMIF('CF.2'!$K$64:$K$98,'CF.1'!E252,'CF.2'!$M$64:$M$98)</f>
        <v>0</v>
      </c>
      <c r="P252" s="581">
        <f>SUMIF('CF.2'!$H$102:$H$108,'CF.1'!E252,'CF.2'!$J$102:$J$108)+SUMIF('CF.2'!$K$102:$K$108,'CF.1'!E252,'CF.2'!$M$102:$M$108)</f>
        <v>0</v>
      </c>
      <c r="Q252" s="581">
        <f>SUMIF('CF.2'!$H$113:$H$121,'CF.1'!E252,'CF.2'!$J$113:$J$121)+SUMIF('CF.2'!$K$113:$K$121,'CF.1'!E252,'CF.2'!$M$113:$M$121)</f>
        <v>0</v>
      </c>
      <c r="R252" s="582">
        <f t="shared" si="32"/>
        <v>0</v>
      </c>
      <c r="T252" s="584">
        <f t="shared" si="31"/>
        <v>0</v>
      </c>
    </row>
    <row r="253" spans="3:22" ht="18" customHeight="1">
      <c r="C253" s="6">
        <v>1</v>
      </c>
      <c r="D253" s="578" t="s">
        <v>1149</v>
      </c>
      <c r="E253" s="579" t="s">
        <v>1149</v>
      </c>
      <c r="F253" s="580"/>
      <c r="G253" s="579" t="s">
        <v>1150</v>
      </c>
      <c r="H253" s="581">
        <v>0</v>
      </c>
      <c r="I253" s="581">
        <v>0</v>
      </c>
      <c r="J253" s="581">
        <v>0</v>
      </c>
      <c r="K253" s="582">
        <f t="shared" si="30"/>
        <v>0</v>
      </c>
      <c r="M253" s="583">
        <f>SUMIF('CF.2'!$H$5:$H$24,'CF.1'!E253,'CF.2'!$J$5:$J$24)-SUMIF('CF.2'!$K$5:$K$24,'CF.1'!E253,'CF.2'!$M$5:$M$24)</f>
        <v>0</v>
      </c>
      <c r="N253" s="581">
        <f>SUMIF('CF.2'!$H$30:$H$59,'CF.1'!E253,'CF.2'!$J$30:$J$59)+SUMIF('CF.2'!$K$30:$K$59,'CF.1'!E253,'CF.2'!$M$30:$M$59)</f>
        <v>0</v>
      </c>
      <c r="O253" s="581">
        <f>SUMIF('CF.2'!$H$64:$H$98,'CF.1'!E253,'CF.2'!$J$64:$J$98)+SUMIF('CF.2'!$K$64:$K$98,'CF.1'!E253,'CF.2'!$M$64:$M$98)</f>
        <v>0</v>
      </c>
      <c r="P253" s="581">
        <f>SUMIF('CF.2'!$H$102:$H$108,'CF.1'!E253,'CF.2'!$J$102:$J$108)+SUMIF('CF.2'!$K$102:$K$108,'CF.1'!E253,'CF.2'!$M$102:$M$108)</f>
        <v>0</v>
      </c>
      <c r="Q253" s="581">
        <f>SUMIF('CF.2'!$H$113:$H$121,'CF.1'!E253,'CF.2'!$J$113:$J$121)+SUMIF('CF.2'!$K$113:$K$121,'CF.1'!E253,'CF.2'!$M$113:$M$121)</f>
        <v>0</v>
      </c>
      <c r="R253" s="582">
        <f t="shared" si="32"/>
        <v>0</v>
      </c>
      <c r="T253" s="584">
        <f t="shared" si="31"/>
        <v>0</v>
      </c>
    </row>
    <row r="254" spans="3:22" ht="18" customHeight="1">
      <c r="C254" s="6">
        <v>1</v>
      </c>
      <c r="D254" s="578" t="s">
        <v>1151</v>
      </c>
      <c r="E254" s="579" t="s">
        <v>1151</v>
      </c>
      <c r="F254" s="580"/>
      <c r="G254" s="579" t="s">
        <v>1152</v>
      </c>
      <c r="H254" s="581">
        <v>0</v>
      </c>
      <c r="I254" s="581">
        <v>0</v>
      </c>
      <c r="J254" s="581">
        <v>0</v>
      </c>
      <c r="K254" s="582">
        <f t="shared" si="30"/>
        <v>0</v>
      </c>
      <c r="M254" s="583">
        <f>SUMIF('CF.2'!$H$5:$H$24,'CF.1'!E254,'CF.2'!$J$5:$J$24)-SUMIF('CF.2'!$K$5:$K$24,'CF.1'!E254,'CF.2'!$M$5:$M$24)</f>
        <v>0</v>
      </c>
      <c r="N254" s="581">
        <f>SUMIF('CF.2'!$H$30:$H$59,'CF.1'!E254,'CF.2'!$J$30:$J$59)+SUMIF('CF.2'!$K$30:$K$59,'CF.1'!E254,'CF.2'!$M$30:$M$59)</f>
        <v>0</v>
      </c>
      <c r="O254" s="581">
        <f>SUMIF('CF.2'!$H$64:$H$98,'CF.1'!E254,'CF.2'!$J$64:$J$98)+SUMIF('CF.2'!$K$64:$K$98,'CF.1'!E254,'CF.2'!$M$64:$M$98)</f>
        <v>0</v>
      </c>
      <c r="P254" s="581">
        <f>SUMIF('CF.2'!$H$102:$H$108,'CF.1'!E254,'CF.2'!$J$102:$J$108)+SUMIF('CF.2'!$K$102:$K$108,'CF.1'!E254,'CF.2'!$M$102:$M$108)</f>
        <v>0</v>
      </c>
      <c r="Q254" s="581">
        <f>SUMIF('CF.2'!$H$113:$H$121,'CF.1'!E254,'CF.2'!$J$113:$J$121)+SUMIF('CF.2'!$K$113:$K$121,'CF.1'!E254,'CF.2'!$M$113:$M$121)</f>
        <v>0</v>
      </c>
      <c r="R254" s="582">
        <f t="shared" si="32"/>
        <v>0</v>
      </c>
      <c r="T254" s="584">
        <f t="shared" si="31"/>
        <v>0</v>
      </c>
    </row>
    <row r="255" spans="3:22" ht="18" customHeight="1">
      <c r="C255" s="6">
        <v>1</v>
      </c>
      <c r="D255" s="578" t="s">
        <v>1153</v>
      </c>
      <c r="E255" s="579" t="s">
        <v>1153</v>
      </c>
      <c r="F255" s="580"/>
      <c r="G255" s="579" t="s">
        <v>1154</v>
      </c>
      <c r="H255" s="581">
        <v>0</v>
      </c>
      <c r="I255" s="581">
        <v>0</v>
      </c>
      <c r="J255" s="581">
        <v>0</v>
      </c>
      <c r="K255" s="582">
        <f t="shared" si="30"/>
        <v>0</v>
      </c>
      <c r="M255" s="583">
        <f>SUMIF('CF.2'!$H$5:$H$24,'CF.1'!E255,'CF.2'!$J$5:$J$24)-SUMIF('CF.2'!$K$5:$K$24,'CF.1'!E255,'CF.2'!$M$5:$M$24)</f>
        <v>0</v>
      </c>
      <c r="N255" s="581">
        <f>SUMIF('CF.2'!$H$30:$H$59,'CF.1'!E255,'CF.2'!$J$30:$J$59)+SUMIF('CF.2'!$K$30:$K$59,'CF.1'!E255,'CF.2'!$M$30:$M$59)</f>
        <v>0</v>
      </c>
      <c r="O255" s="581">
        <f>SUMIF('CF.2'!$H$64:$H$98,'CF.1'!E255,'CF.2'!$J$64:$J$98)+SUMIF('CF.2'!$K$64:$K$98,'CF.1'!E255,'CF.2'!$M$64:$M$98)</f>
        <v>0</v>
      </c>
      <c r="P255" s="581">
        <f>SUMIF('CF.2'!$H$102:$H$108,'CF.1'!E255,'CF.2'!$J$102:$J$108)+SUMIF('CF.2'!$K$102:$K$108,'CF.1'!E255,'CF.2'!$M$102:$M$108)</f>
        <v>0</v>
      </c>
      <c r="Q255" s="581">
        <f>SUMIF('CF.2'!$H$113:$H$121,'CF.1'!E255,'CF.2'!$J$113:$J$121)+SUMIF('CF.2'!$K$113:$K$121,'CF.1'!E255,'CF.2'!$M$113:$M$121)</f>
        <v>0</v>
      </c>
      <c r="R255" s="582">
        <f t="shared" si="32"/>
        <v>0</v>
      </c>
      <c r="T255" s="584">
        <f t="shared" si="31"/>
        <v>0</v>
      </c>
    </row>
    <row r="256" spans="3:22" ht="18" customHeight="1">
      <c r="C256" s="6">
        <v>1</v>
      </c>
      <c r="D256" s="578" t="s">
        <v>1155</v>
      </c>
      <c r="E256" s="579" t="s">
        <v>1155</v>
      </c>
      <c r="F256" s="580" t="s">
        <v>1527</v>
      </c>
      <c r="G256" s="579" t="s">
        <v>1156</v>
      </c>
      <c r="H256" s="581">
        <v>0</v>
      </c>
      <c r="I256" s="581">
        <v>0</v>
      </c>
      <c r="J256" s="581">
        <v>0</v>
      </c>
      <c r="K256" s="582">
        <f t="shared" si="30"/>
        <v>0</v>
      </c>
      <c r="M256" s="583">
        <f>SUMIF('CF.2'!$H$5:$H$24,'CF.1'!E256,'CF.2'!$J$5:$J$24)-SUMIF('CF.2'!$K$5:$K$24,'CF.1'!E256,'CF.2'!$M$5:$M$24)</f>
        <v>0</v>
      </c>
      <c r="N256" s="581">
        <f>SUMIF('CF.2'!$H$30:$H$59,'CF.1'!E256,'CF.2'!$J$30:$J$59)+SUMIF('CF.2'!$K$30:$K$59,'CF.1'!E256,'CF.2'!$M$30:$M$59)</f>
        <v>0</v>
      </c>
      <c r="O256" s="581">
        <f>SUMIF('CF.2'!$H$64:$H$98,'CF.1'!E256,'CF.2'!$J$64:$J$98)+SUMIF('CF.2'!$K$64:$K$98,'CF.1'!E256,'CF.2'!$M$64:$M$98)</f>
        <v>0</v>
      </c>
      <c r="P256" s="581">
        <f>SUMIF('CF.2'!$H$102:$H$108,'CF.1'!E256,'CF.2'!$J$102:$J$108)+SUMIF('CF.2'!$K$102:$K$108,'CF.1'!E256,'CF.2'!$M$102:$M$108)</f>
        <v>0</v>
      </c>
      <c r="Q256" s="581">
        <f>SUMIF('CF.2'!$H$113:$H$121,'CF.1'!E256,'CF.2'!$J$113:$J$121)+SUMIF('CF.2'!$K$113:$K$121,'CF.1'!E256,'CF.2'!$M$113:$M$121)</f>
        <v>0</v>
      </c>
      <c r="R256" s="582">
        <f t="shared" si="32"/>
        <v>0</v>
      </c>
      <c r="T256" s="584">
        <f t="shared" si="31"/>
        <v>0</v>
      </c>
    </row>
    <row r="257" spans="3:20" ht="18" customHeight="1">
      <c r="C257" s="6">
        <v>1</v>
      </c>
      <c r="D257" s="578" t="s">
        <v>1157</v>
      </c>
      <c r="E257" s="579" t="s">
        <v>1157</v>
      </c>
      <c r="F257" s="580"/>
      <c r="G257" s="579" t="s">
        <v>1158</v>
      </c>
      <c r="H257" s="581">
        <v>0</v>
      </c>
      <c r="I257" s="581">
        <v>0</v>
      </c>
      <c r="J257" s="581">
        <v>0</v>
      </c>
      <c r="K257" s="582">
        <f t="shared" si="30"/>
        <v>0</v>
      </c>
      <c r="M257" s="583">
        <f>SUMIF('CF.2'!$H$5:$H$24,'CF.1'!E257,'CF.2'!$J$5:$J$24)-SUMIF('CF.2'!$K$5:$K$24,'CF.1'!E257,'CF.2'!$M$5:$M$24)</f>
        <v>0</v>
      </c>
      <c r="N257" s="581">
        <f>SUMIF('CF.2'!$H$30:$H$59,'CF.1'!E257,'CF.2'!$J$30:$J$59)+SUMIF('CF.2'!$K$30:$K$59,'CF.1'!E257,'CF.2'!$M$30:$M$59)</f>
        <v>0</v>
      </c>
      <c r="O257" s="581">
        <f>SUMIF('CF.2'!$H$64:$H$98,'CF.1'!E257,'CF.2'!$J$64:$J$98)+SUMIF('CF.2'!$K$64:$K$98,'CF.1'!E257,'CF.2'!$M$64:$M$98)</f>
        <v>0</v>
      </c>
      <c r="P257" s="581">
        <f>SUMIF('CF.2'!$H$102:$H$108,'CF.1'!E257,'CF.2'!$J$102:$J$108)+SUMIF('CF.2'!$K$102:$K$108,'CF.1'!E257,'CF.2'!$M$102:$M$108)</f>
        <v>0</v>
      </c>
      <c r="Q257" s="581">
        <f>SUMIF('CF.2'!$H$113:$H$121,'CF.1'!E257,'CF.2'!$J$113:$J$121)+SUMIF('CF.2'!$K$113:$K$121,'CF.1'!E257,'CF.2'!$M$113:$M$121)</f>
        <v>0</v>
      </c>
      <c r="R257" s="582">
        <f t="shared" si="32"/>
        <v>0</v>
      </c>
      <c r="T257" s="584">
        <f t="shared" si="31"/>
        <v>0</v>
      </c>
    </row>
    <row r="258" spans="3:20" ht="18" customHeight="1">
      <c r="C258" s="6">
        <v>1</v>
      </c>
      <c r="D258" s="578" t="s">
        <v>1159</v>
      </c>
      <c r="E258" s="579" t="s">
        <v>1159</v>
      </c>
      <c r="F258" s="580" t="s">
        <v>1527</v>
      </c>
      <c r="G258" s="579" t="s">
        <v>1160</v>
      </c>
      <c r="H258" s="581">
        <v>0</v>
      </c>
      <c r="I258" s="581">
        <v>0</v>
      </c>
      <c r="J258" s="581">
        <v>0</v>
      </c>
      <c r="K258" s="582">
        <f t="shared" si="30"/>
        <v>0</v>
      </c>
      <c r="M258" s="583">
        <f>SUMIF('CF.2'!$H$5:$H$24,'CF.1'!E258,'CF.2'!$J$5:$J$24)-SUMIF('CF.2'!$K$5:$K$24,'CF.1'!E258,'CF.2'!$M$5:$M$24)</f>
        <v>0</v>
      </c>
      <c r="N258" s="581">
        <f>SUMIF('CF.2'!$H$30:$H$59,'CF.1'!E258,'CF.2'!$J$30:$J$59)+SUMIF('CF.2'!$K$30:$K$59,'CF.1'!E258,'CF.2'!$M$30:$M$59)</f>
        <v>0</v>
      </c>
      <c r="O258" s="581">
        <f>SUMIF('CF.2'!$H$64:$H$98,'CF.1'!E258,'CF.2'!$J$64:$J$98)+SUMIF('CF.2'!$K$64:$K$98,'CF.1'!E258,'CF.2'!$M$64:$M$98)</f>
        <v>0</v>
      </c>
      <c r="P258" s="581">
        <f>SUMIF('CF.2'!$H$102:$H$108,'CF.1'!E258,'CF.2'!$J$102:$J$108)+SUMIF('CF.2'!$K$102:$K$108,'CF.1'!E258,'CF.2'!$M$102:$M$108)</f>
        <v>0</v>
      </c>
      <c r="Q258" s="581">
        <f>SUMIF('CF.2'!$H$113:$H$121,'CF.1'!E258,'CF.2'!$J$113:$J$121)+SUMIF('CF.2'!$K$113:$K$121,'CF.1'!E258,'CF.2'!$M$113:$M$121)</f>
        <v>0</v>
      </c>
      <c r="R258" s="582">
        <f t="shared" si="32"/>
        <v>0</v>
      </c>
      <c r="T258" s="584">
        <f t="shared" si="31"/>
        <v>0</v>
      </c>
    </row>
    <row r="259" spans="3:20" ht="18" customHeight="1">
      <c r="C259" s="6">
        <v>1</v>
      </c>
      <c r="D259" s="578" t="s">
        <v>1161</v>
      </c>
      <c r="E259" s="579" t="s">
        <v>1161</v>
      </c>
      <c r="F259" s="580"/>
      <c r="G259" s="579" t="s">
        <v>1162</v>
      </c>
      <c r="H259" s="581">
        <v>0</v>
      </c>
      <c r="I259" s="581">
        <v>0</v>
      </c>
      <c r="J259" s="581">
        <v>0</v>
      </c>
      <c r="K259" s="582">
        <f t="shared" si="30"/>
        <v>0</v>
      </c>
      <c r="M259" s="583">
        <f>SUMIF('CF.2'!$H$5:$H$24,'CF.1'!E259,'CF.2'!$J$5:$J$24)-SUMIF('CF.2'!$K$5:$K$24,'CF.1'!E259,'CF.2'!$M$5:$M$24)</f>
        <v>0</v>
      </c>
      <c r="N259" s="581">
        <f>SUMIF('CF.2'!$H$30:$H$59,'CF.1'!E259,'CF.2'!$J$30:$J$59)+SUMIF('CF.2'!$K$30:$K$59,'CF.1'!E259,'CF.2'!$M$30:$M$59)</f>
        <v>0</v>
      </c>
      <c r="O259" s="581">
        <f>SUMIF('CF.2'!$H$64:$H$98,'CF.1'!E259,'CF.2'!$J$64:$J$98)+SUMIF('CF.2'!$K$64:$K$98,'CF.1'!E259,'CF.2'!$M$64:$M$98)</f>
        <v>0</v>
      </c>
      <c r="P259" s="581">
        <f>SUMIF('CF.2'!$H$102:$H$108,'CF.1'!E259,'CF.2'!$J$102:$J$108)+SUMIF('CF.2'!$K$102:$K$108,'CF.1'!E259,'CF.2'!$M$102:$M$108)</f>
        <v>0</v>
      </c>
      <c r="Q259" s="581">
        <f>SUMIF('CF.2'!$H$113:$H$121,'CF.1'!E259,'CF.2'!$J$113:$J$121)+SUMIF('CF.2'!$K$113:$K$121,'CF.1'!E259,'CF.2'!$M$113:$M$121)</f>
        <v>0</v>
      </c>
      <c r="R259" s="582">
        <f t="shared" si="32"/>
        <v>0</v>
      </c>
      <c r="T259" s="584">
        <f t="shared" si="31"/>
        <v>0</v>
      </c>
    </row>
    <row r="260" spans="3:20" ht="18" customHeight="1">
      <c r="C260" s="6">
        <v>1</v>
      </c>
      <c r="D260" s="578" t="s">
        <v>1163</v>
      </c>
      <c r="E260" s="579" t="s">
        <v>1163</v>
      </c>
      <c r="F260" s="580"/>
      <c r="G260" s="579" t="s">
        <v>1164</v>
      </c>
      <c r="H260" s="581">
        <v>0</v>
      </c>
      <c r="I260" s="581">
        <v>0</v>
      </c>
      <c r="J260" s="581">
        <v>0</v>
      </c>
      <c r="K260" s="582">
        <f t="shared" si="30"/>
        <v>0</v>
      </c>
      <c r="M260" s="583">
        <f>SUMIF('CF.2'!$H$5:$H$24,'CF.1'!E260,'CF.2'!$J$5:$J$24)-SUMIF('CF.2'!$K$5:$K$24,'CF.1'!E260,'CF.2'!$M$5:$M$24)</f>
        <v>0</v>
      </c>
      <c r="N260" s="581">
        <f>SUMIF('CF.2'!$H$30:$H$59,'CF.1'!E260,'CF.2'!$J$30:$J$59)+SUMIF('CF.2'!$K$30:$K$59,'CF.1'!E260,'CF.2'!$M$30:$M$59)</f>
        <v>0</v>
      </c>
      <c r="O260" s="581">
        <f>SUMIF('CF.2'!$H$64:$H$98,'CF.1'!E260,'CF.2'!$J$64:$J$98)+SUMIF('CF.2'!$K$64:$K$98,'CF.1'!E260,'CF.2'!$M$64:$M$98)</f>
        <v>0</v>
      </c>
      <c r="P260" s="581">
        <f>SUMIF('CF.2'!$H$102:$H$108,'CF.1'!E260,'CF.2'!$J$102:$J$108)+SUMIF('CF.2'!$K$102:$K$108,'CF.1'!E260,'CF.2'!$M$102:$M$108)</f>
        <v>0</v>
      </c>
      <c r="Q260" s="581">
        <f>SUMIF('CF.2'!$H$113:$H$121,'CF.1'!E260,'CF.2'!$J$113:$J$121)+SUMIF('CF.2'!$K$113:$K$121,'CF.1'!E260,'CF.2'!$M$113:$M$121)</f>
        <v>0</v>
      </c>
      <c r="R260" s="582">
        <f t="shared" si="32"/>
        <v>0</v>
      </c>
      <c r="T260" s="584">
        <f t="shared" si="31"/>
        <v>0</v>
      </c>
    </row>
    <row r="261" spans="3:20" ht="18" customHeight="1">
      <c r="C261" s="6">
        <v>1</v>
      </c>
      <c r="D261" s="578" t="s">
        <v>1165</v>
      </c>
      <c r="E261" s="579" t="s">
        <v>1165</v>
      </c>
      <c r="F261" s="580"/>
      <c r="G261" s="579" t="s">
        <v>1166</v>
      </c>
      <c r="H261" s="581">
        <v>0</v>
      </c>
      <c r="I261" s="581">
        <v>0</v>
      </c>
      <c r="J261" s="581">
        <v>0</v>
      </c>
      <c r="K261" s="582">
        <f t="shared" si="30"/>
        <v>0</v>
      </c>
      <c r="M261" s="583">
        <f>SUMIF('CF.2'!$H$5:$H$24,'CF.1'!E261,'CF.2'!$J$5:$J$24)-SUMIF('CF.2'!$K$5:$K$24,'CF.1'!E261,'CF.2'!$M$5:$M$24)</f>
        <v>0</v>
      </c>
      <c r="N261" s="581">
        <f>SUMIF('CF.2'!$H$30:$H$59,'CF.1'!E261,'CF.2'!$J$30:$J$59)+SUMIF('CF.2'!$K$30:$K$59,'CF.1'!E261,'CF.2'!$M$30:$M$59)</f>
        <v>0</v>
      </c>
      <c r="O261" s="581">
        <f>SUMIF('CF.2'!$H$64:$H$98,'CF.1'!E261,'CF.2'!$J$64:$J$98)+SUMIF('CF.2'!$K$64:$K$98,'CF.1'!E261,'CF.2'!$M$64:$M$98)</f>
        <v>0</v>
      </c>
      <c r="P261" s="581">
        <f>SUMIF('CF.2'!$H$102:$H$108,'CF.1'!E261,'CF.2'!$J$102:$J$108)+SUMIF('CF.2'!$K$102:$K$108,'CF.1'!E261,'CF.2'!$M$102:$M$108)</f>
        <v>0</v>
      </c>
      <c r="Q261" s="581">
        <f>SUMIF('CF.2'!$H$113:$H$121,'CF.1'!E261,'CF.2'!$J$113:$J$121)+SUMIF('CF.2'!$K$113:$K$121,'CF.1'!E261,'CF.2'!$M$113:$M$121)</f>
        <v>0</v>
      </c>
      <c r="R261" s="582">
        <f t="shared" si="32"/>
        <v>0</v>
      </c>
      <c r="T261" s="584">
        <f t="shared" si="31"/>
        <v>0</v>
      </c>
    </row>
    <row r="262" spans="3:20" ht="18" customHeight="1">
      <c r="C262" s="6">
        <v>1</v>
      </c>
      <c r="D262" s="578" t="s">
        <v>1167</v>
      </c>
      <c r="E262" s="579" t="s">
        <v>1167</v>
      </c>
      <c r="F262" s="580"/>
      <c r="G262" s="579" t="s">
        <v>1168</v>
      </c>
      <c r="H262" s="581">
        <v>0</v>
      </c>
      <c r="I262" s="581">
        <v>0</v>
      </c>
      <c r="J262" s="581">
        <v>0</v>
      </c>
      <c r="K262" s="582">
        <f t="shared" si="30"/>
        <v>0</v>
      </c>
      <c r="M262" s="583">
        <f>SUMIF('CF.2'!$H$5:$H$24,'CF.1'!E262,'CF.2'!$J$5:$J$24)-SUMIF('CF.2'!$K$5:$K$24,'CF.1'!E262,'CF.2'!$M$5:$M$24)</f>
        <v>0</v>
      </c>
      <c r="N262" s="581">
        <f>SUMIF('CF.2'!$H$30:$H$59,'CF.1'!E262,'CF.2'!$J$30:$J$59)+SUMIF('CF.2'!$K$30:$K$59,'CF.1'!E262,'CF.2'!$M$30:$M$59)</f>
        <v>0</v>
      </c>
      <c r="O262" s="581">
        <f>SUMIF('CF.2'!$H$64:$H$98,'CF.1'!E262,'CF.2'!$J$64:$J$98)+SUMIF('CF.2'!$K$64:$K$98,'CF.1'!E262,'CF.2'!$M$64:$M$98)</f>
        <v>0</v>
      </c>
      <c r="P262" s="581">
        <f>SUMIF('CF.2'!$H$102:$H$108,'CF.1'!E262,'CF.2'!$J$102:$J$108)+SUMIF('CF.2'!$K$102:$K$108,'CF.1'!E262,'CF.2'!$M$102:$M$108)</f>
        <v>0</v>
      </c>
      <c r="Q262" s="581">
        <f>SUMIF('CF.2'!$H$113:$H$121,'CF.1'!E262,'CF.2'!$J$113:$J$121)+SUMIF('CF.2'!$K$113:$K$121,'CF.1'!E262,'CF.2'!$M$113:$M$121)</f>
        <v>0</v>
      </c>
      <c r="R262" s="582">
        <f t="shared" si="32"/>
        <v>0</v>
      </c>
      <c r="T262" s="584">
        <f t="shared" si="31"/>
        <v>0</v>
      </c>
    </row>
    <row r="263" spans="3:20" ht="18" customHeight="1">
      <c r="C263" s="6">
        <v>1</v>
      </c>
      <c r="D263" s="578" t="s">
        <v>1169</v>
      </c>
      <c r="E263" s="579" t="s">
        <v>1169</v>
      </c>
      <c r="F263" s="580"/>
      <c r="G263" s="579" t="s">
        <v>1170</v>
      </c>
      <c r="H263" s="581">
        <v>0</v>
      </c>
      <c r="I263" s="581">
        <v>0</v>
      </c>
      <c r="J263" s="581">
        <v>0</v>
      </c>
      <c r="K263" s="582">
        <f t="shared" si="30"/>
        <v>0</v>
      </c>
      <c r="M263" s="583">
        <f>SUMIF('CF.2'!$H$5:$H$24,'CF.1'!E263,'CF.2'!$J$5:$J$24)-SUMIF('CF.2'!$K$5:$K$24,'CF.1'!E263,'CF.2'!$M$5:$M$24)</f>
        <v>0</v>
      </c>
      <c r="N263" s="581">
        <f>SUMIF('CF.2'!$H$30:$H$59,'CF.1'!E263,'CF.2'!$J$30:$J$59)+SUMIF('CF.2'!$K$30:$K$59,'CF.1'!E263,'CF.2'!$M$30:$M$59)</f>
        <v>0</v>
      </c>
      <c r="O263" s="581">
        <f>SUMIF('CF.2'!$H$64:$H$98,'CF.1'!E263,'CF.2'!$J$64:$J$98)+SUMIF('CF.2'!$K$64:$K$98,'CF.1'!E263,'CF.2'!$M$64:$M$98)</f>
        <v>0</v>
      </c>
      <c r="P263" s="581">
        <f>SUMIF('CF.2'!$H$102:$H$108,'CF.1'!E263,'CF.2'!$J$102:$J$108)+SUMIF('CF.2'!$K$102:$K$108,'CF.1'!E263,'CF.2'!$M$102:$M$108)</f>
        <v>0</v>
      </c>
      <c r="Q263" s="581">
        <f>SUMIF('CF.2'!$H$113:$H$121,'CF.1'!E263,'CF.2'!$J$113:$J$121)+SUMIF('CF.2'!$K$113:$K$121,'CF.1'!E263,'CF.2'!$M$113:$M$121)</f>
        <v>0</v>
      </c>
      <c r="R263" s="582">
        <f t="shared" si="32"/>
        <v>0</v>
      </c>
      <c r="T263" s="584">
        <f t="shared" si="31"/>
        <v>0</v>
      </c>
    </row>
    <row r="264" spans="3:20" ht="18" customHeight="1">
      <c r="C264" s="6">
        <v>1</v>
      </c>
      <c r="D264" s="578" t="s">
        <v>1171</v>
      </c>
      <c r="E264" s="579" t="s">
        <v>1171</v>
      </c>
      <c r="F264" s="580"/>
      <c r="G264" s="579" t="s">
        <v>1172</v>
      </c>
      <c r="H264" s="581">
        <v>0</v>
      </c>
      <c r="I264" s="581">
        <v>0</v>
      </c>
      <c r="J264" s="581">
        <v>0</v>
      </c>
      <c r="K264" s="582">
        <f t="shared" si="30"/>
        <v>0</v>
      </c>
      <c r="M264" s="583">
        <f>SUMIF('CF.2'!$H$5:$H$24,'CF.1'!E264,'CF.2'!$J$5:$J$24)-SUMIF('CF.2'!$K$5:$K$24,'CF.1'!E264,'CF.2'!$M$5:$M$24)</f>
        <v>0</v>
      </c>
      <c r="N264" s="581">
        <f>SUMIF('CF.2'!$H$30:$H$59,'CF.1'!E264,'CF.2'!$J$30:$J$59)+SUMIF('CF.2'!$K$30:$K$59,'CF.1'!E264,'CF.2'!$M$30:$M$59)</f>
        <v>0</v>
      </c>
      <c r="O264" s="581">
        <f>SUMIF('CF.2'!$H$64:$H$98,'CF.1'!E264,'CF.2'!$J$64:$J$98)+SUMIF('CF.2'!$K$64:$K$98,'CF.1'!E264,'CF.2'!$M$64:$M$98)</f>
        <v>0</v>
      </c>
      <c r="P264" s="581">
        <f>SUMIF('CF.2'!$H$102:$H$108,'CF.1'!E264,'CF.2'!$J$102:$J$108)+SUMIF('CF.2'!$K$102:$K$108,'CF.1'!E264,'CF.2'!$M$102:$M$108)</f>
        <v>0</v>
      </c>
      <c r="Q264" s="581">
        <f>SUMIF('CF.2'!$H$113:$H$121,'CF.1'!E264,'CF.2'!$J$113:$J$121)+SUMIF('CF.2'!$K$113:$K$121,'CF.1'!E264,'CF.2'!$M$113:$M$121)</f>
        <v>0</v>
      </c>
      <c r="R264" s="582">
        <f t="shared" si="32"/>
        <v>0</v>
      </c>
      <c r="T264" s="584">
        <f t="shared" si="31"/>
        <v>0</v>
      </c>
    </row>
    <row r="265" spans="3:20" ht="18" customHeight="1">
      <c r="C265" s="6">
        <v>1</v>
      </c>
      <c r="D265" s="578" t="s">
        <v>1173</v>
      </c>
      <c r="E265" s="579" t="s">
        <v>1173</v>
      </c>
      <c r="F265" s="580"/>
      <c r="G265" s="579" t="s">
        <v>1174</v>
      </c>
      <c r="H265" s="581">
        <v>0</v>
      </c>
      <c r="I265" s="581">
        <v>0</v>
      </c>
      <c r="J265" s="581">
        <v>0</v>
      </c>
      <c r="K265" s="582">
        <f t="shared" si="30"/>
        <v>0</v>
      </c>
      <c r="M265" s="583">
        <f>SUMIF('CF.2'!$H$5:$H$24,'CF.1'!E265,'CF.2'!$J$5:$J$24)-SUMIF('CF.2'!$K$5:$K$24,'CF.1'!E265,'CF.2'!$M$5:$M$24)</f>
        <v>0</v>
      </c>
      <c r="N265" s="581">
        <f>SUMIF('CF.2'!$H$30:$H$59,'CF.1'!E265,'CF.2'!$J$30:$J$59)+SUMIF('CF.2'!$K$30:$K$59,'CF.1'!E265,'CF.2'!$M$30:$M$59)</f>
        <v>0</v>
      </c>
      <c r="O265" s="581">
        <f>SUMIF('CF.2'!$H$64:$H$98,'CF.1'!E265,'CF.2'!$J$64:$J$98)+SUMIF('CF.2'!$K$64:$K$98,'CF.1'!E265,'CF.2'!$M$64:$M$98)</f>
        <v>0</v>
      </c>
      <c r="P265" s="581">
        <f>SUMIF('CF.2'!$H$102:$H$108,'CF.1'!E265,'CF.2'!$J$102:$J$108)+SUMIF('CF.2'!$K$102:$K$108,'CF.1'!E265,'CF.2'!$M$102:$M$108)</f>
        <v>0</v>
      </c>
      <c r="Q265" s="581">
        <f>SUMIF('CF.2'!$H$113:$H$121,'CF.1'!E265,'CF.2'!$J$113:$J$121)+SUMIF('CF.2'!$K$113:$K$121,'CF.1'!E265,'CF.2'!$M$113:$M$121)</f>
        <v>0</v>
      </c>
      <c r="R265" s="582">
        <f t="shared" si="32"/>
        <v>0</v>
      </c>
      <c r="T265" s="584">
        <f t="shared" si="31"/>
        <v>0</v>
      </c>
    </row>
    <row r="266" spans="3:20" ht="18" customHeight="1">
      <c r="C266" s="6">
        <v>1</v>
      </c>
      <c r="D266" s="578" t="s">
        <v>1175</v>
      </c>
      <c r="E266" s="579" t="s">
        <v>1175</v>
      </c>
      <c r="F266" s="580"/>
      <c r="G266" s="579" t="s">
        <v>1176</v>
      </c>
      <c r="H266" s="581">
        <v>0</v>
      </c>
      <c r="I266" s="581">
        <v>0</v>
      </c>
      <c r="J266" s="581">
        <v>0</v>
      </c>
      <c r="K266" s="582">
        <f t="shared" si="30"/>
        <v>0</v>
      </c>
      <c r="M266" s="583">
        <f>SUMIF('CF.2'!$H$5:$H$24,'CF.1'!E266,'CF.2'!$J$5:$J$24)-SUMIF('CF.2'!$K$5:$K$24,'CF.1'!E266,'CF.2'!$M$5:$M$24)</f>
        <v>0</v>
      </c>
      <c r="N266" s="581">
        <f>SUMIF('CF.2'!$H$30:$H$59,'CF.1'!E266,'CF.2'!$J$30:$J$59)+SUMIF('CF.2'!$K$30:$K$59,'CF.1'!E266,'CF.2'!$M$30:$M$59)</f>
        <v>0</v>
      </c>
      <c r="O266" s="581">
        <f>SUMIF('CF.2'!$H$64:$H$98,'CF.1'!E266,'CF.2'!$J$64:$J$98)+SUMIF('CF.2'!$K$64:$K$98,'CF.1'!E266,'CF.2'!$M$64:$M$98)</f>
        <v>0</v>
      </c>
      <c r="P266" s="581">
        <f>SUMIF('CF.2'!$H$102:$H$108,'CF.1'!E266,'CF.2'!$J$102:$J$108)+SUMIF('CF.2'!$K$102:$K$108,'CF.1'!E266,'CF.2'!$M$102:$M$108)</f>
        <v>0</v>
      </c>
      <c r="Q266" s="581">
        <f>SUMIF('CF.2'!$H$113:$H$121,'CF.1'!E266,'CF.2'!$J$113:$J$121)+SUMIF('CF.2'!$K$113:$K$121,'CF.1'!E266,'CF.2'!$M$113:$M$121)</f>
        <v>0</v>
      </c>
      <c r="R266" s="582">
        <f t="shared" si="32"/>
        <v>0</v>
      </c>
      <c r="T266" s="584">
        <f t="shared" si="31"/>
        <v>0</v>
      </c>
    </row>
    <row r="267" spans="3:20" ht="18" customHeight="1">
      <c r="C267" s="6">
        <v>1</v>
      </c>
      <c r="D267" s="578" t="s">
        <v>1177</v>
      </c>
      <c r="E267" s="579" t="s">
        <v>1177</v>
      </c>
      <c r="F267" s="580" t="s">
        <v>1487</v>
      </c>
      <c r="G267" s="579" t="s">
        <v>1178</v>
      </c>
      <c r="H267" s="581">
        <v>0</v>
      </c>
      <c r="I267" s="581">
        <v>0</v>
      </c>
      <c r="J267" s="581">
        <v>0</v>
      </c>
      <c r="K267" s="582">
        <f t="shared" si="30"/>
        <v>0</v>
      </c>
      <c r="M267" s="583">
        <f>SUMIF('CF.2'!$H$5:$H$24,'CF.1'!E267,'CF.2'!$J$5:$J$24)-SUMIF('CF.2'!$K$5:$K$24,'CF.1'!E267,'CF.2'!$M$5:$M$24)</f>
        <v>0</v>
      </c>
      <c r="N267" s="581">
        <f>SUMIF('CF.2'!$H$30:$H$59,'CF.1'!E267,'CF.2'!$J$30:$J$59)+SUMIF('CF.2'!$K$30:$K$59,'CF.1'!E267,'CF.2'!$M$30:$M$59)</f>
        <v>0</v>
      </c>
      <c r="O267" s="581">
        <f>SUMIF('CF.2'!$H$64:$H$98,'CF.1'!E267,'CF.2'!$J$64:$J$98)+SUMIF('CF.2'!$K$64:$K$98,'CF.1'!E267,'CF.2'!$M$64:$M$98)</f>
        <v>0</v>
      </c>
      <c r="P267" s="581">
        <f>SUMIF('CF.2'!$H$102:$H$108,'CF.1'!E267,'CF.2'!$J$102:$J$108)+SUMIF('CF.2'!$K$102:$K$108,'CF.1'!E267,'CF.2'!$M$102:$M$108)</f>
        <v>0</v>
      </c>
      <c r="Q267" s="581">
        <f>SUMIF('CF.2'!$H$113:$H$121,'CF.1'!E267,'CF.2'!$J$113:$J$121)+SUMIF('CF.2'!$K$113:$K$121,'CF.1'!E267,'CF.2'!$M$113:$M$121)</f>
        <v>0</v>
      </c>
      <c r="R267" s="582">
        <f t="shared" si="32"/>
        <v>0</v>
      </c>
      <c r="T267" s="584">
        <f t="shared" si="31"/>
        <v>0</v>
      </c>
    </row>
    <row r="268" spans="3:20" ht="18" customHeight="1">
      <c r="C268" s="6">
        <v>1</v>
      </c>
      <c r="D268" s="578" t="s">
        <v>1179</v>
      </c>
      <c r="E268" s="579" t="s">
        <v>1179</v>
      </c>
      <c r="F268" s="580"/>
      <c r="G268" s="579" t="s">
        <v>1180</v>
      </c>
      <c r="H268" s="581">
        <v>0</v>
      </c>
      <c r="I268" s="581">
        <v>0</v>
      </c>
      <c r="J268" s="581">
        <v>0</v>
      </c>
      <c r="K268" s="582">
        <f t="shared" si="30"/>
        <v>0</v>
      </c>
      <c r="M268" s="583">
        <f>SUMIF('CF.2'!$H$5:$H$24,'CF.1'!E268,'CF.2'!$J$5:$J$24)-SUMIF('CF.2'!$K$5:$K$24,'CF.1'!E268,'CF.2'!$M$5:$M$24)</f>
        <v>0</v>
      </c>
      <c r="N268" s="581">
        <f>SUMIF('CF.2'!$H$30:$H$59,'CF.1'!E268,'CF.2'!$J$30:$J$59)+SUMIF('CF.2'!$K$30:$K$59,'CF.1'!E268,'CF.2'!$M$30:$M$59)</f>
        <v>0</v>
      </c>
      <c r="O268" s="581">
        <f>SUMIF('CF.2'!$H$64:$H$98,'CF.1'!E268,'CF.2'!$J$64:$J$98)+SUMIF('CF.2'!$K$64:$K$98,'CF.1'!E268,'CF.2'!$M$64:$M$98)</f>
        <v>0</v>
      </c>
      <c r="P268" s="581">
        <f>SUMIF('CF.2'!$H$102:$H$108,'CF.1'!E268,'CF.2'!$J$102:$J$108)+SUMIF('CF.2'!$K$102:$K$108,'CF.1'!E268,'CF.2'!$M$102:$M$108)</f>
        <v>0</v>
      </c>
      <c r="Q268" s="581">
        <f>SUMIF('CF.2'!$H$113:$H$121,'CF.1'!E268,'CF.2'!$J$113:$J$121)+SUMIF('CF.2'!$K$113:$K$121,'CF.1'!E268,'CF.2'!$M$113:$M$121)</f>
        <v>0</v>
      </c>
      <c r="R268" s="582">
        <f t="shared" si="32"/>
        <v>0</v>
      </c>
      <c r="T268" s="584">
        <f t="shared" si="31"/>
        <v>0</v>
      </c>
    </row>
    <row r="269" spans="3:20" ht="18" customHeight="1">
      <c r="C269" s="6">
        <v>1</v>
      </c>
      <c r="D269" s="578" t="s">
        <v>1181</v>
      </c>
      <c r="E269" s="579" t="s">
        <v>1181</v>
      </c>
      <c r="F269" s="580" t="s">
        <v>1487</v>
      </c>
      <c r="G269" s="579" t="s">
        <v>1182</v>
      </c>
      <c r="H269" s="581">
        <v>0</v>
      </c>
      <c r="I269" s="581">
        <v>0</v>
      </c>
      <c r="J269" s="581">
        <v>0</v>
      </c>
      <c r="K269" s="582">
        <f t="shared" si="30"/>
        <v>0</v>
      </c>
      <c r="M269" s="583">
        <f>SUMIF('CF.2'!$H$5:$H$24,'CF.1'!E269,'CF.2'!$J$5:$J$24)-SUMIF('CF.2'!$K$5:$K$24,'CF.1'!E269,'CF.2'!$M$5:$M$24)</f>
        <v>0</v>
      </c>
      <c r="N269" s="581">
        <f>SUMIF('CF.2'!$H$30:$H$59,'CF.1'!E269,'CF.2'!$J$30:$J$59)+SUMIF('CF.2'!$K$30:$K$59,'CF.1'!E269,'CF.2'!$M$30:$M$59)</f>
        <v>0</v>
      </c>
      <c r="O269" s="581">
        <f>SUMIF('CF.2'!$H$64:$H$98,'CF.1'!E269,'CF.2'!$J$64:$J$98)+SUMIF('CF.2'!$K$64:$K$98,'CF.1'!E269,'CF.2'!$M$64:$M$98)</f>
        <v>0</v>
      </c>
      <c r="P269" s="581">
        <f>SUMIF('CF.2'!$H$102:$H$108,'CF.1'!E269,'CF.2'!$J$102:$J$108)+SUMIF('CF.2'!$K$102:$K$108,'CF.1'!E269,'CF.2'!$M$102:$M$108)</f>
        <v>0</v>
      </c>
      <c r="Q269" s="581">
        <f>SUMIF('CF.2'!$H$113:$H$121,'CF.1'!E269,'CF.2'!$J$113:$J$121)+SUMIF('CF.2'!$K$113:$K$121,'CF.1'!E269,'CF.2'!$M$113:$M$121)</f>
        <v>0</v>
      </c>
      <c r="R269" s="582">
        <f t="shared" si="32"/>
        <v>0</v>
      </c>
      <c r="T269" s="584">
        <f t="shared" si="31"/>
        <v>0</v>
      </c>
    </row>
    <row r="270" spans="3:20" ht="18" customHeight="1">
      <c r="C270" s="6">
        <v>1</v>
      </c>
      <c r="D270" s="578" t="s">
        <v>1183</v>
      </c>
      <c r="E270" s="579" t="s">
        <v>1183</v>
      </c>
      <c r="F270" s="580"/>
      <c r="G270" s="579" t="s">
        <v>1184</v>
      </c>
      <c r="H270" s="581">
        <v>0</v>
      </c>
      <c r="I270" s="581">
        <v>0</v>
      </c>
      <c r="J270" s="581">
        <v>0</v>
      </c>
      <c r="K270" s="582">
        <f t="shared" si="30"/>
        <v>0</v>
      </c>
      <c r="M270" s="583">
        <f>SUMIF('CF.2'!$H$5:$H$24,'CF.1'!E270,'CF.2'!$J$5:$J$24)-SUMIF('CF.2'!$K$5:$K$24,'CF.1'!E270,'CF.2'!$M$5:$M$24)</f>
        <v>0</v>
      </c>
      <c r="N270" s="581">
        <f>SUMIF('CF.2'!$H$30:$H$59,'CF.1'!E270,'CF.2'!$J$30:$J$59)+SUMIF('CF.2'!$K$30:$K$59,'CF.1'!E270,'CF.2'!$M$30:$M$59)</f>
        <v>0</v>
      </c>
      <c r="O270" s="581">
        <f>SUMIF('CF.2'!$H$64:$H$98,'CF.1'!E270,'CF.2'!$J$64:$J$98)+SUMIF('CF.2'!$K$64:$K$98,'CF.1'!E270,'CF.2'!$M$64:$M$98)</f>
        <v>0</v>
      </c>
      <c r="P270" s="581">
        <f>SUMIF('CF.2'!$H$102:$H$108,'CF.1'!E270,'CF.2'!$J$102:$J$108)+SUMIF('CF.2'!$K$102:$K$108,'CF.1'!E270,'CF.2'!$M$102:$M$108)</f>
        <v>0</v>
      </c>
      <c r="Q270" s="581">
        <f>SUMIF('CF.2'!$H$113:$H$121,'CF.1'!E270,'CF.2'!$J$113:$J$121)+SUMIF('CF.2'!$K$113:$K$121,'CF.1'!E270,'CF.2'!$M$113:$M$121)</f>
        <v>0</v>
      </c>
      <c r="R270" s="582">
        <f t="shared" si="32"/>
        <v>0</v>
      </c>
      <c r="T270" s="584">
        <f t="shared" si="31"/>
        <v>0</v>
      </c>
    </row>
    <row r="271" spans="3:20" ht="18" customHeight="1">
      <c r="C271" s="6">
        <v>1</v>
      </c>
      <c r="D271" s="578" t="s">
        <v>1185</v>
      </c>
      <c r="E271" s="579" t="s">
        <v>1367</v>
      </c>
      <c r="F271" s="580" t="s">
        <v>1487</v>
      </c>
      <c r="G271" s="579" t="s">
        <v>1359</v>
      </c>
      <c r="H271" s="581">
        <v>0</v>
      </c>
      <c r="I271" s="581">
        <v>0</v>
      </c>
      <c r="J271" s="581">
        <v>0</v>
      </c>
      <c r="K271" s="582">
        <f t="shared" si="30"/>
        <v>0</v>
      </c>
      <c r="M271" s="583">
        <f>SUMIF('CF.2'!$H$5:$H$24,'CF.1'!E271,'CF.2'!$J$5:$J$24)-SUMIF('CF.2'!$K$5:$K$24,'CF.1'!E271,'CF.2'!$M$5:$M$24)</f>
        <v>0</v>
      </c>
      <c r="N271" s="581">
        <f>SUMIF('CF.2'!$H$30:$H$59,'CF.1'!E271,'CF.2'!$J$30:$J$59)+SUMIF('CF.2'!$K$30:$K$59,'CF.1'!E271,'CF.2'!$M$30:$M$59)</f>
        <v>0</v>
      </c>
      <c r="O271" s="581">
        <f>SUMIF('CF.2'!$H$64:$H$98,'CF.1'!E271,'CF.2'!$J$64:$J$98)+SUMIF('CF.2'!$K$64:$K$98,'CF.1'!E271,'CF.2'!$M$64:$M$98)</f>
        <v>0</v>
      </c>
      <c r="P271" s="581">
        <f>SUMIF('CF.2'!$H$102:$H$108,'CF.1'!E271,'CF.2'!$J$102:$J$108)+SUMIF('CF.2'!$K$102:$K$108,'CF.1'!E271,'CF.2'!$M$102:$M$108)</f>
        <v>0</v>
      </c>
      <c r="Q271" s="581">
        <f>SUMIF('CF.2'!$H$113:$H$121,'CF.1'!E271,'CF.2'!$J$113:$J$121)+SUMIF('CF.2'!$K$113:$K$121,'CF.1'!E271,'CF.2'!$M$113:$M$121)</f>
        <v>0</v>
      </c>
      <c r="R271" s="582">
        <f t="shared" si="32"/>
        <v>0</v>
      </c>
      <c r="T271" s="584">
        <f t="shared" si="31"/>
        <v>0</v>
      </c>
    </row>
    <row r="272" spans="3:20" ht="18" customHeight="1">
      <c r="C272" s="6">
        <v>1</v>
      </c>
      <c r="D272" s="578" t="s">
        <v>1185</v>
      </c>
      <c r="E272" s="579" t="s">
        <v>1368</v>
      </c>
      <c r="F272" s="580" t="s">
        <v>1487</v>
      </c>
      <c r="G272" s="579" t="s">
        <v>1360</v>
      </c>
      <c r="H272" s="879">
        <v>-429863455</v>
      </c>
      <c r="I272" s="581">
        <v>-1957628</v>
      </c>
      <c r="J272" s="581">
        <v>0</v>
      </c>
      <c r="K272" s="582">
        <f t="shared" si="30"/>
        <v>-431821083</v>
      </c>
      <c r="M272" s="583">
        <f>SUMIF('CF.2'!$H$5:$H$24,'CF.1'!E272,'CF.2'!$J$5:$J$24)-SUMIF('CF.2'!$K$5:$K$24,'CF.1'!E272,'CF.2'!$M$5:$M$24)</f>
        <v>0</v>
      </c>
      <c r="N272" s="581">
        <f>SUMIF('CF.2'!$H$30:$H$59,'CF.1'!E272,'CF.2'!$J$30:$J$59)+SUMIF('CF.2'!$K$30:$K$59,'CF.1'!E272,'CF.2'!$M$30:$M$59)</f>
        <v>0</v>
      </c>
      <c r="O272" s="581">
        <f>SUMIF('CF.2'!$H$64:$H$98,'CF.1'!E272,'CF.2'!$J$64:$J$98)+SUMIF('CF.2'!$K$64:$K$98,'CF.1'!E272,'CF.2'!$M$64:$M$98)</f>
        <v>0</v>
      </c>
      <c r="P272" s="581">
        <f>SUMIF('CF.2'!$H$102:$H$108,'CF.1'!E272,'CF.2'!$J$102:$J$108)+SUMIF('CF.2'!$K$102:$K$108,'CF.1'!E272,'CF.2'!$M$102:$M$108)</f>
        <v>0</v>
      </c>
      <c r="Q272" s="581">
        <f>SUMIF('CF.2'!$H$113:$H$121,'CF.1'!E272,'CF.2'!$J$113:$J$121)+SUMIF('CF.2'!$K$113:$K$121,'CF.1'!E272,'CF.2'!$M$113:$M$121)</f>
        <v>0</v>
      </c>
      <c r="R272" s="582">
        <f t="shared" si="32"/>
        <v>0</v>
      </c>
      <c r="T272" s="584">
        <f t="shared" si="31"/>
        <v>-431821083</v>
      </c>
    </row>
    <row r="273" spans="3:20" ht="18" customHeight="1">
      <c r="C273" s="6">
        <v>1</v>
      </c>
      <c r="D273" s="578" t="s">
        <v>1185</v>
      </c>
      <c r="E273" s="579" t="s">
        <v>1369</v>
      </c>
      <c r="F273" s="580" t="s">
        <v>1487</v>
      </c>
      <c r="G273" s="579" t="s">
        <v>1361</v>
      </c>
      <c r="H273" s="879">
        <v>-222144116</v>
      </c>
      <c r="I273" s="581">
        <v>0</v>
      </c>
      <c r="J273" s="581">
        <v>0</v>
      </c>
      <c r="K273" s="582">
        <f t="shared" si="30"/>
        <v>-222144116</v>
      </c>
      <c r="M273" s="583">
        <f>SUMIF('CF.2'!$H$5:$H$24,'CF.1'!E273,'CF.2'!$J$5:$J$24)-SUMIF('CF.2'!$K$5:$K$24,'CF.1'!E273,'CF.2'!$M$5:$M$24)</f>
        <v>0</v>
      </c>
      <c r="N273" s="581">
        <f>SUMIF('CF.2'!$H$30:$H$59,'CF.1'!E273,'CF.2'!$J$30:$J$59)+SUMIF('CF.2'!$K$30:$K$59,'CF.1'!E273,'CF.2'!$M$30:$M$59)</f>
        <v>0</v>
      </c>
      <c r="O273" s="581">
        <f>SUMIF('CF.2'!$H$64:$H$98,'CF.1'!E273,'CF.2'!$J$64:$J$98)+SUMIF('CF.2'!$K$64:$K$98,'CF.1'!E273,'CF.2'!$M$64:$M$98)</f>
        <v>0</v>
      </c>
      <c r="P273" s="581">
        <f>SUMIF('CF.2'!$H$102:$H$108,'CF.1'!E273,'CF.2'!$J$102:$J$108)+SUMIF('CF.2'!$K$102:$K$108,'CF.1'!E273,'CF.2'!$M$102:$M$108)</f>
        <v>0</v>
      </c>
      <c r="Q273" s="581">
        <f>SUMIF('CF.2'!$H$113:$H$121,'CF.1'!E273,'CF.2'!$J$113:$J$121)+SUMIF('CF.2'!$K$113:$K$121,'CF.1'!E273,'CF.2'!$M$113:$M$121)</f>
        <v>0</v>
      </c>
      <c r="R273" s="582">
        <f t="shared" si="32"/>
        <v>0</v>
      </c>
      <c r="T273" s="584">
        <f t="shared" si="31"/>
        <v>-222144116</v>
      </c>
    </row>
    <row r="274" spans="3:20" ht="18" customHeight="1">
      <c r="C274" s="6">
        <v>1</v>
      </c>
      <c r="D274" s="578" t="s">
        <v>1186</v>
      </c>
      <c r="E274" s="579" t="s">
        <v>1186</v>
      </c>
      <c r="F274" s="580"/>
      <c r="G274" s="579" t="s">
        <v>1187</v>
      </c>
      <c r="H274" s="581">
        <v>0</v>
      </c>
      <c r="I274" s="581">
        <v>0</v>
      </c>
      <c r="J274" s="581">
        <v>0</v>
      </c>
      <c r="K274" s="582">
        <f t="shared" ref="K274:K299" si="33">SUM(H274:J274)</f>
        <v>0</v>
      </c>
      <c r="M274" s="583">
        <f>SUMIF('CF.2'!$H$5:$H$24,'CF.1'!E274,'CF.2'!$J$5:$J$24)-SUMIF('CF.2'!$K$5:$K$24,'CF.1'!E274,'CF.2'!$M$5:$M$24)</f>
        <v>0</v>
      </c>
      <c r="N274" s="581">
        <f>SUMIF('CF.2'!$H$30:$H$59,'CF.1'!E274,'CF.2'!$J$30:$J$59)+SUMIF('CF.2'!$K$30:$K$59,'CF.1'!E274,'CF.2'!$M$30:$M$59)</f>
        <v>0</v>
      </c>
      <c r="O274" s="581">
        <f>SUMIF('CF.2'!$H$64:$H$98,'CF.1'!E274,'CF.2'!$J$64:$J$98)+SUMIF('CF.2'!$K$64:$K$98,'CF.1'!E274,'CF.2'!$M$64:$M$98)</f>
        <v>0</v>
      </c>
      <c r="P274" s="581">
        <f>SUMIF('CF.2'!$H$102:$H$108,'CF.1'!E274,'CF.2'!$J$102:$J$108)+SUMIF('CF.2'!$K$102:$K$108,'CF.1'!E274,'CF.2'!$M$102:$M$108)</f>
        <v>0</v>
      </c>
      <c r="Q274" s="581">
        <f>SUMIF('CF.2'!$H$113:$H$121,'CF.1'!E274,'CF.2'!$J$113:$J$121)+SUMIF('CF.2'!$K$113:$K$121,'CF.1'!E274,'CF.2'!$M$113:$M$121)</f>
        <v>0</v>
      </c>
      <c r="R274" s="582">
        <f t="shared" si="32"/>
        <v>0</v>
      </c>
      <c r="T274" s="584">
        <f t="shared" ref="T274:T299" si="34">ROUND(R274+K274,0)</f>
        <v>0</v>
      </c>
    </row>
    <row r="275" spans="3:20" ht="18" customHeight="1">
      <c r="C275" s="6">
        <v>1</v>
      </c>
      <c r="D275" s="578" t="s">
        <v>1188</v>
      </c>
      <c r="E275" s="579" t="s">
        <v>1188</v>
      </c>
      <c r="F275" s="580"/>
      <c r="G275" s="579" t="s">
        <v>1189</v>
      </c>
      <c r="H275" s="581">
        <v>0</v>
      </c>
      <c r="I275" s="581">
        <v>0</v>
      </c>
      <c r="J275" s="581">
        <v>0</v>
      </c>
      <c r="K275" s="582">
        <f t="shared" si="33"/>
        <v>0</v>
      </c>
      <c r="M275" s="583">
        <f>SUMIF('CF.2'!$H$5:$H$24,'CF.1'!E275,'CF.2'!$J$5:$J$24)-SUMIF('CF.2'!$K$5:$K$24,'CF.1'!E275,'CF.2'!$M$5:$M$24)</f>
        <v>0</v>
      </c>
      <c r="N275" s="581">
        <f>SUMIF('CF.2'!$H$30:$H$59,'CF.1'!E275,'CF.2'!$J$30:$J$59)+SUMIF('CF.2'!$K$30:$K$59,'CF.1'!E275,'CF.2'!$M$30:$M$59)</f>
        <v>0</v>
      </c>
      <c r="O275" s="581">
        <f>SUMIF('CF.2'!$H$64:$H$98,'CF.1'!E275,'CF.2'!$J$64:$J$98)+SUMIF('CF.2'!$K$64:$K$98,'CF.1'!E275,'CF.2'!$M$64:$M$98)</f>
        <v>0</v>
      </c>
      <c r="P275" s="581">
        <f>SUMIF('CF.2'!$H$102:$H$108,'CF.1'!E275,'CF.2'!$J$102:$J$108)+SUMIF('CF.2'!$K$102:$K$108,'CF.1'!E275,'CF.2'!$M$102:$M$108)</f>
        <v>0</v>
      </c>
      <c r="Q275" s="581">
        <f>SUMIF('CF.2'!$H$113:$H$121,'CF.1'!E275,'CF.2'!$J$113:$J$121)+SUMIF('CF.2'!$K$113:$K$121,'CF.1'!E275,'CF.2'!$M$113:$M$121)</f>
        <v>0</v>
      </c>
      <c r="R275" s="582">
        <f t="shared" si="32"/>
        <v>0</v>
      </c>
      <c r="T275" s="584">
        <f t="shared" si="34"/>
        <v>0</v>
      </c>
    </row>
    <row r="276" spans="3:20" ht="18" customHeight="1">
      <c r="C276" s="6">
        <v>1</v>
      </c>
      <c r="D276" s="578" t="s">
        <v>1190</v>
      </c>
      <c r="E276" s="579" t="s">
        <v>1190</v>
      </c>
      <c r="F276" s="580" t="s">
        <v>1487</v>
      </c>
      <c r="G276" s="579" t="s">
        <v>1191</v>
      </c>
      <c r="H276" s="879">
        <v>-376907453</v>
      </c>
      <c r="I276" s="581">
        <v>0</v>
      </c>
      <c r="J276" s="581">
        <v>0</v>
      </c>
      <c r="K276" s="582">
        <f t="shared" si="33"/>
        <v>-376907453</v>
      </c>
      <c r="M276" s="583">
        <f>SUMIF('CF.2'!$H$5:$H$24,'CF.1'!E276,'CF.2'!$J$5:$J$24)-SUMIF('CF.2'!$K$5:$K$24,'CF.1'!E276,'CF.2'!$M$5:$M$24)</f>
        <v>0</v>
      </c>
      <c r="N276" s="581">
        <f>SUMIF('CF.2'!$H$30:$H$59,'CF.1'!E276,'CF.2'!$J$30:$J$59)+SUMIF('CF.2'!$K$30:$K$59,'CF.1'!E276,'CF.2'!$M$30:$M$59)</f>
        <v>0</v>
      </c>
      <c r="O276" s="581">
        <f>SUMIF('CF.2'!$H$64:$H$98,'CF.1'!E276,'CF.2'!$J$64:$J$98)+SUMIF('CF.2'!$K$64:$K$98,'CF.1'!E276,'CF.2'!$M$64:$M$98)</f>
        <v>0</v>
      </c>
      <c r="P276" s="581">
        <f>SUMIF('CF.2'!$H$102:$H$108,'CF.1'!E276,'CF.2'!$J$102:$J$108)+SUMIF('CF.2'!$K$102:$K$108,'CF.1'!E276,'CF.2'!$M$102:$M$108)</f>
        <v>0</v>
      </c>
      <c r="Q276" s="581">
        <f>SUMIF('CF.2'!$H$113:$H$121,'CF.1'!E276,'CF.2'!$J$113:$J$121)+SUMIF('CF.2'!$K$113:$K$121,'CF.1'!E276,'CF.2'!$M$113:$M$121)</f>
        <v>0</v>
      </c>
      <c r="R276" s="582">
        <f t="shared" si="32"/>
        <v>0</v>
      </c>
      <c r="T276" s="584">
        <f t="shared" si="34"/>
        <v>-376907453</v>
      </c>
    </row>
    <row r="277" spans="3:20" ht="18" customHeight="1">
      <c r="C277" s="6">
        <v>1</v>
      </c>
      <c r="D277" s="578" t="s">
        <v>1185</v>
      </c>
      <c r="E277" s="579" t="s">
        <v>1192</v>
      </c>
      <c r="F277" s="580" t="s">
        <v>1487</v>
      </c>
      <c r="G277" s="579" t="s">
        <v>1193</v>
      </c>
      <c r="H277" s="581">
        <v>0</v>
      </c>
      <c r="I277" s="581">
        <v>0</v>
      </c>
      <c r="J277" s="581">
        <v>0</v>
      </c>
      <c r="K277" s="582">
        <f t="shared" si="33"/>
        <v>0</v>
      </c>
      <c r="M277" s="583">
        <f>SUMIF('CF.2'!$H$5:$H$24,'CF.1'!E277,'CF.2'!$J$5:$J$24)-SUMIF('CF.2'!$K$5:$K$24,'CF.1'!E277,'CF.2'!$M$5:$M$24)</f>
        <v>0</v>
      </c>
      <c r="N277" s="581">
        <f>SUMIF('CF.2'!$H$30:$H$59,'CF.1'!E277,'CF.2'!$J$30:$J$59)+SUMIF('CF.2'!$K$30:$K$59,'CF.1'!E277,'CF.2'!$M$30:$M$59)</f>
        <v>0</v>
      </c>
      <c r="O277" s="581">
        <f>SUMIF('CF.2'!$H$64:$H$98,'CF.1'!E277,'CF.2'!$J$64:$J$98)+SUMIF('CF.2'!$K$64:$K$98,'CF.1'!E277,'CF.2'!$M$64:$M$98)</f>
        <v>0</v>
      </c>
      <c r="P277" s="581">
        <f>SUMIF('CF.2'!$H$102:$H$108,'CF.1'!E277,'CF.2'!$J$102:$J$108)+SUMIF('CF.2'!$K$102:$K$108,'CF.1'!E277,'CF.2'!$M$102:$M$108)</f>
        <v>0</v>
      </c>
      <c r="Q277" s="581">
        <f>SUMIF('CF.2'!$H$113:$H$121,'CF.1'!E277,'CF.2'!$J$113:$J$121)+SUMIF('CF.2'!$K$113:$K$121,'CF.1'!E277,'CF.2'!$M$113:$M$121)</f>
        <v>0</v>
      </c>
      <c r="R277" s="582">
        <f t="shared" si="32"/>
        <v>0</v>
      </c>
      <c r="T277" s="584">
        <f t="shared" si="34"/>
        <v>0</v>
      </c>
    </row>
    <row r="278" spans="3:20" ht="18" customHeight="1">
      <c r="C278" s="6">
        <v>1</v>
      </c>
      <c r="D278" s="578" t="s">
        <v>1194</v>
      </c>
      <c r="E278" s="579" t="s">
        <v>1194</v>
      </c>
      <c r="F278" s="580" t="s">
        <v>1488</v>
      </c>
      <c r="G278" s="579" t="s">
        <v>1195</v>
      </c>
      <c r="H278" s="879">
        <v>-690531431</v>
      </c>
      <c r="I278" s="581">
        <v>0</v>
      </c>
      <c r="J278" s="581">
        <v>0</v>
      </c>
      <c r="K278" s="582">
        <f t="shared" si="33"/>
        <v>-690531431</v>
      </c>
      <c r="M278" s="583">
        <f>SUMIF('CF.2'!$H$5:$H$24,'CF.1'!E278,'CF.2'!$J$5:$J$24)-SUMIF('CF.2'!$K$5:$K$24,'CF.1'!E278,'CF.2'!$M$5:$M$24)</f>
        <v>0</v>
      </c>
      <c r="N278" s="581">
        <f>SUMIF('CF.2'!$H$30:$H$59,'CF.1'!E278,'CF.2'!$J$30:$J$59)+SUMIF('CF.2'!$K$30:$K$59,'CF.1'!E278,'CF.2'!$M$30:$M$59)</f>
        <v>0</v>
      </c>
      <c r="O278" s="581">
        <f>SUMIF('CF.2'!$H$64:$H$98,'CF.1'!E278,'CF.2'!$J$64:$J$98)+SUMIF('CF.2'!$K$64:$K$98,'CF.1'!E278,'CF.2'!$M$64:$M$98)</f>
        <v>0</v>
      </c>
      <c r="P278" s="581">
        <f>SUMIF('CF.2'!$H$102:$H$108,'CF.1'!E278,'CF.2'!$J$102:$J$108)+SUMIF('CF.2'!$K$102:$K$108,'CF.1'!E278,'CF.2'!$M$102:$M$108)</f>
        <v>0</v>
      </c>
      <c r="Q278" s="581">
        <f>SUMIF('CF.2'!$H$113:$H$121,'CF.1'!E278,'CF.2'!$J$113:$J$121)+SUMIF('CF.2'!$K$113:$K$121,'CF.1'!E278,'CF.2'!$M$113:$M$121)</f>
        <v>0</v>
      </c>
      <c r="R278" s="582">
        <f t="shared" si="32"/>
        <v>0</v>
      </c>
      <c r="T278" s="584">
        <f t="shared" si="34"/>
        <v>-690531431</v>
      </c>
    </row>
    <row r="279" spans="3:20" ht="18" customHeight="1">
      <c r="C279" s="6">
        <v>1</v>
      </c>
      <c r="D279" s="578" t="s">
        <v>1196</v>
      </c>
      <c r="E279" s="579" t="s">
        <v>1196</v>
      </c>
      <c r="F279" s="580"/>
      <c r="G279" s="579" t="s">
        <v>1197</v>
      </c>
      <c r="H279" s="581">
        <v>0</v>
      </c>
      <c r="I279" s="581">
        <v>0</v>
      </c>
      <c r="J279" s="581">
        <v>0</v>
      </c>
      <c r="K279" s="582">
        <f t="shared" si="33"/>
        <v>0</v>
      </c>
      <c r="M279" s="583">
        <f>SUMIF('CF.2'!$H$5:$H$24,'CF.1'!E279,'CF.2'!$J$5:$J$24)-SUMIF('CF.2'!$K$5:$K$24,'CF.1'!E279,'CF.2'!$M$5:$M$24)</f>
        <v>0</v>
      </c>
      <c r="N279" s="581">
        <f>SUMIF('CF.2'!$H$30:$H$59,'CF.1'!E279,'CF.2'!$J$30:$J$59)+SUMIF('CF.2'!$K$30:$K$59,'CF.1'!E279,'CF.2'!$M$30:$M$59)</f>
        <v>0</v>
      </c>
      <c r="O279" s="581">
        <f>SUMIF('CF.2'!$H$64:$H$98,'CF.1'!E279,'CF.2'!$J$64:$J$98)+SUMIF('CF.2'!$K$64:$K$98,'CF.1'!E279,'CF.2'!$M$64:$M$98)</f>
        <v>0</v>
      </c>
      <c r="P279" s="581">
        <f>SUMIF('CF.2'!$H$102:$H$108,'CF.1'!E279,'CF.2'!$J$102:$J$108)+SUMIF('CF.2'!$K$102:$K$108,'CF.1'!E279,'CF.2'!$M$102:$M$108)</f>
        <v>0</v>
      </c>
      <c r="Q279" s="581">
        <f>SUMIF('CF.2'!$H$113:$H$121,'CF.1'!E279,'CF.2'!$J$113:$J$121)+SUMIF('CF.2'!$K$113:$K$121,'CF.1'!E279,'CF.2'!$M$113:$M$121)</f>
        <v>0</v>
      </c>
      <c r="R279" s="582">
        <f t="shared" si="32"/>
        <v>0</v>
      </c>
      <c r="T279" s="584">
        <f t="shared" si="34"/>
        <v>0</v>
      </c>
    </row>
    <row r="280" spans="3:20" ht="18" customHeight="1">
      <c r="C280" s="6">
        <v>1</v>
      </c>
      <c r="D280" s="578" t="s">
        <v>1198</v>
      </c>
      <c r="E280" s="579" t="s">
        <v>1198</v>
      </c>
      <c r="F280" s="580"/>
      <c r="G280" s="579" t="s">
        <v>1199</v>
      </c>
      <c r="H280" s="581">
        <v>0</v>
      </c>
      <c r="I280" s="581">
        <v>0</v>
      </c>
      <c r="J280" s="581">
        <v>0</v>
      </c>
      <c r="K280" s="582">
        <f t="shared" si="33"/>
        <v>0</v>
      </c>
      <c r="M280" s="583">
        <f>SUMIF('CF.2'!$H$5:$H$24,'CF.1'!E280,'CF.2'!$J$5:$J$24)-SUMIF('CF.2'!$K$5:$K$24,'CF.1'!E280,'CF.2'!$M$5:$M$24)</f>
        <v>0</v>
      </c>
      <c r="N280" s="581">
        <f>SUMIF('CF.2'!$H$30:$H$59,'CF.1'!E280,'CF.2'!$J$30:$J$59)+SUMIF('CF.2'!$K$30:$K$59,'CF.1'!E280,'CF.2'!$M$30:$M$59)</f>
        <v>0</v>
      </c>
      <c r="O280" s="581">
        <f>SUMIF('CF.2'!$H$64:$H$98,'CF.1'!E280,'CF.2'!$J$64:$J$98)+SUMIF('CF.2'!$K$64:$K$98,'CF.1'!E280,'CF.2'!$M$64:$M$98)</f>
        <v>0</v>
      </c>
      <c r="P280" s="581">
        <f>SUMIF('CF.2'!$H$102:$H$108,'CF.1'!E280,'CF.2'!$J$102:$J$108)+SUMIF('CF.2'!$K$102:$K$108,'CF.1'!E280,'CF.2'!$M$102:$M$108)</f>
        <v>0</v>
      </c>
      <c r="Q280" s="581">
        <f>SUMIF('CF.2'!$H$113:$H$121,'CF.1'!E280,'CF.2'!$J$113:$J$121)+SUMIF('CF.2'!$K$113:$K$121,'CF.1'!E280,'CF.2'!$M$113:$M$121)</f>
        <v>0</v>
      </c>
      <c r="R280" s="582">
        <f t="shared" si="32"/>
        <v>0</v>
      </c>
      <c r="T280" s="584">
        <f t="shared" si="34"/>
        <v>0</v>
      </c>
    </row>
    <row r="281" spans="3:20" ht="18" customHeight="1">
      <c r="C281" s="6">
        <v>1</v>
      </c>
      <c r="D281" s="578" t="s">
        <v>1200</v>
      </c>
      <c r="E281" s="579" t="s">
        <v>1200</v>
      </c>
      <c r="F281" s="580"/>
      <c r="G281" s="579" t="s">
        <v>1201</v>
      </c>
      <c r="H281" s="581">
        <v>0</v>
      </c>
      <c r="I281" s="581">
        <v>0</v>
      </c>
      <c r="J281" s="581">
        <v>0</v>
      </c>
      <c r="K281" s="582">
        <f t="shared" si="33"/>
        <v>0</v>
      </c>
      <c r="M281" s="583">
        <f>SUMIF('CF.2'!$H$5:$H$24,'CF.1'!E281,'CF.2'!$J$5:$J$24)-SUMIF('CF.2'!$K$5:$K$24,'CF.1'!E281,'CF.2'!$M$5:$M$24)</f>
        <v>0</v>
      </c>
      <c r="N281" s="581">
        <f>SUMIF('CF.2'!$H$30:$H$59,'CF.1'!E281,'CF.2'!$J$30:$J$59)+SUMIF('CF.2'!$K$30:$K$59,'CF.1'!E281,'CF.2'!$M$30:$M$59)</f>
        <v>0</v>
      </c>
      <c r="O281" s="581">
        <f>SUMIF('CF.2'!$H$64:$H$98,'CF.1'!E281,'CF.2'!$J$64:$J$98)+SUMIF('CF.2'!$K$64:$K$98,'CF.1'!E281,'CF.2'!$M$64:$M$98)</f>
        <v>0</v>
      </c>
      <c r="P281" s="581">
        <f>SUMIF('CF.2'!$H$102:$H$108,'CF.1'!E281,'CF.2'!$J$102:$J$108)+SUMIF('CF.2'!$K$102:$K$108,'CF.1'!E281,'CF.2'!$M$102:$M$108)</f>
        <v>0</v>
      </c>
      <c r="Q281" s="581">
        <f>SUMIF('CF.2'!$H$113:$H$121,'CF.1'!E281,'CF.2'!$J$113:$J$121)+SUMIF('CF.2'!$K$113:$K$121,'CF.1'!E281,'CF.2'!$M$113:$M$121)</f>
        <v>0</v>
      </c>
      <c r="R281" s="582">
        <f t="shared" si="32"/>
        <v>0</v>
      </c>
      <c r="T281" s="584">
        <f t="shared" si="34"/>
        <v>0</v>
      </c>
    </row>
    <row r="282" spans="3:20" ht="18" customHeight="1">
      <c r="C282" s="6">
        <v>1</v>
      </c>
      <c r="D282" s="578" t="s">
        <v>1202</v>
      </c>
      <c r="E282" s="579" t="s">
        <v>1202</v>
      </c>
      <c r="F282" s="580" t="s">
        <v>1488</v>
      </c>
      <c r="G282" s="579" t="s">
        <v>1203</v>
      </c>
      <c r="H282" s="879">
        <v>-25981135</v>
      </c>
      <c r="I282" s="581">
        <v>0</v>
      </c>
      <c r="J282" s="581">
        <v>0</v>
      </c>
      <c r="K282" s="582">
        <f t="shared" si="33"/>
        <v>-25981135</v>
      </c>
      <c r="M282" s="583">
        <f>SUMIF('CF.2'!$H$5:$H$24,'CF.1'!E282,'CF.2'!$J$5:$J$24)-SUMIF('CF.2'!$K$5:$K$24,'CF.1'!E282,'CF.2'!$M$5:$M$24)</f>
        <v>0</v>
      </c>
      <c r="N282" s="581">
        <f>SUMIF('CF.2'!$H$30:$H$59,'CF.1'!E282,'CF.2'!$J$30:$J$59)+SUMIF('CF.2'!$K$30:$K$59,'CF.1'!E282,'CF.2'!$M$30:$M$59)</f>
        <v>0</v>
      </c>
      <c r="O282" s="581">
        <f>SUMIF('CF.2'!$H$64:$H$98,'CF.1'!E282,'CF.2'!$J$64:$J$98)+SUMIF('CF.2'!$K$64:$K$98,'CF.1'!E282,'CF.2'!$M$64:$M$98)</f>
        <v>0</v>
      </c>
      <c r="P282" s="581">
        <f>SUMIF('CF.2'!$H$102:$H$108,'CF.1'!E282,'CF.2'!$J$102:$J$108)+SUMIF('CF.2'!$K$102:$K$108,'CF.1'!E282,'CF.2'!$M$102:$M$108)</f>
        <v>0</v>
      </c>
      <c r="Q282" s="581">
        <f>SUMIF('CF.2'!$H$113:$H$121,'CF.1'!E282,'CF.2'!$J$113:$J$121)+SUMIF('CF.2'!$K$113:$K$121,'CF.1'!E282,'CF.2'!$M$113:$M$121)</f>
        <v>0</v>
      </c>
      <c r="R282" s="582">
        <f t="shared" si="32"/>
        <v>0</v>
      </c>
      <c r="T282" s="584">
        <f t="shared" si="34"/>
        <v>-25981135</v>
      </c>
    </row>
    <row r="283" spans="3:20" ht="18" customHeight="1">
      <c r="C283" s="6">
        <v>1</v>
      </c>
      <c r="D283" s="578" t="s">
        <v>1204</v>
      </c>
      <c r="E283" s="579" t="s">
        <v>1204</v>
      </c>
      <c r="F283" s="580"/>
      <c r="G283" s="579" t="s">
        <v>1205</v>
      </c>
      <c r="H283" s="581">
        <v>0</v>
      </c>
      <c r="I283" s="581">
        <v>0</v>
      </c>
      <c r="J283" s="581">
        <v>0</v>
      </c>
      <c r="K283" s="582">
        <f t="shared" si="33"/>
        <v>0</v>
      </c>
      <c r="M283" s="583">
        <f>SUMIF('CF.2'!$H$5:$H$24,'CF.1'!E283,'CF.2'!$J$5:$J$24)-SUMIF('CF.2'!$K$5:$K$24,'CF.1'!E283,'CF.2'!$M$5:$M$24)</f>
        <v>0</v>
      </c>
      <c r="N283" s="581">
        <f>SUMIF('CF.2'!$H$30:$H$59,'CF.1'!E283,'CF.2'!$J$30:$J$59)+SUMIF('CF.2'!$K$30:$K$59,'CF.1'!E283,'CF.2'!$M$30:$M$59)</f>
        <v>0</v>
      </c>
      <c r="O283" s="581">
        <f>SUMIF('CF.2'!$H$64:$H$98,'CF.1'!E283,'CF.2'!$J$64:$J$98)+SUMIF('CF.2'!$K$64:$K$98,'CF.1'!E283,'CF.2'!$M$64:$M$98)</f>
        <v>0</v>
      </c>
      <c r="P283" s="581">
        <f>SUMIF('CF.2'!$H$102:$H$108,'CF.1'!E283,'CF.2'!$J$102:$J$108)+SUMIF('CF.2'!$K$102:$K$108,'CF.1'!E283,'CF.2'!$M$102:$M$108)</f>
        <v>0</v>
      </c>
      <c r="Q283" s="581">
        <f>SUMIF('CF.2'!$H$113:$H$121,'CF.1'!E283,'CF.2'!$J$113:$J$121)+SUMIF('CF.2'!$K$113:$K$121,'CF.1'!E283,'CF.2'!$M$113:$M$121)</f>
        <v>0</v>
      </c>
      <c r="R283" s="582">
        <f t="shared" si="32"/>
        <v>0</v>
      </c>
      <c r="T283" s="584">
        <f t="shared" si="34"/>
        <v>0</v>
      </c>
    </row>
    <row r="284" spans="3:20" ht="18" customHeight="1">
      <c r="C284" s="6">
        <v>1</v>
      </c>
      <c r="D284" s="578" t="s">
        <v>1206</v>
      </c>
      <c r="E284" s="579" t="s">
        <v>1206</v>
      </c>
      <c r="F284" s="580"/>
      <c r="G284" s="579" t="s">
        <v>1207</v>
      </c>
      <c r="H284" s="581">
        <v>0</v>
      </c>
      <c r="I284" s="581">
        <v>0</v>
      </c>
      <c r="J284" s="581">
        <v>0</v>
      </c>
      <c r="K284" s="582">
        <f t="shared" si="33"/>
        <v>0</v>
      </c>
      <c r="M284" s="583">
        <f>SUMIF('CF.2'!$H$5:$H$24,'CF.1'!E284,'CF.2'!$J$5:$J$24)-SUMIF('CF.2'!$K$5:$K$24,'CF.1'!E284,'CF.2'!$M$5:$M$24)</f>
        <v>0</v>
      </c>
      <c r="N284" s="581">
        <f>SUMIF('CF.2'!$H$30:$H$59,'CF.1'!E284,'CF.2'!$J$30:$J$59)+SUMIF('CF.2'!$K$30:$K$59,'CF.1'!E284,'CF.2'!$M$30:$M$59)</f>
        <v>0</v>
      </c>
      <c r="O284" s="581">
        <f>SUMIF('CF.2'!$H$64:$H$98,'CF.1'!E284,'CF.2'!$J$64:$J$98)+SUMIF('CF.2'!$K$64:$K$98,'CF.1'!E284,'CF.2'!$M$64:$M$98)</f>
        <v>0</v>
      </c>
      <c r="P284" s="581">
        <f>SUMIF('CF.2'!$H$102:$H$108,'CF.1'!E284,'CF.2'!$J$102:$J$108)+SUMIF('CF.2'!$K$102:$K$108,'CF.1'!E284,'CF.2'!$M$102:$M$108)</f>
        <v>0</v>
      </c>
      <c r="Q284" s="581">
        <f>SUMIF('CF.2'!$H$113:$H$121,'CF.1'!E284,'CF.2'!$J$113:$J$121)+SUMIF('CF.2'!$K$113:$K$121,'CF.1'!E284,'CF.2'!$M$113:$M$121)</f>
        <v>0</v>
      </c>
      <c r="R284" s="582">
        <f t="shared" si="32"/>
        <v>0</v>
      </c>
      <c r="T284" s="584">
        <f t="shared" si="34"/>
        <v>0</v>
      </c>
    </row>
    <row r="285" spans="3:20" ht="18" customHeight="1">
      <c r="C285" s="6">
        <v>1</v>
      </c>
      <c r="D285" s="578" t="s">
        <v>1208</v>
      </c>
      <c r="E285" s="579" t="s">
        <v>1208</v>
      </c>
      <c r="F285" s="580" t="s">
        <v>2143</v>
      </c>
      <c r="G285" s="579" t="s">
        <v>1209</v>
      </c>
      <c r="H285" s="879">
        <v>-11685490</v>
      </c>
      <c r="I285" s="581">
        <v>0</v>
      </c>
      <c r="J285" s="581">
        <v>0</v>
      </c>
      <c r="K285" s="582">
        <f t="shared" si="33"/>
        <v>-11685490</v>
      </c>
      <c r="M285" s="583">
        <f>SUMIF('CF.2'!$H$5:$H$24,'CF.1'!E285,'CF.2'!$J$5:$J$24)-SUMIF('CF.2'!$K$5:$K$24,'CF.1'!E285,'CF.2'!$M$5:$M$24)</f>
        <v>0</v>
      </c>
      <c r="N285" s="581">
        <f>SUMIF('CF.2'!$H$30:$H$59,'CF.1'!E285,'CF.2'!$J$30:$J$59)+SUMIF('CF.2'!$K$30:$K$59,'CF.1'!E285,'CF.2'!$M$30:$M$59)</f>
        <v>0</v>
      </c>
      <c r="O285" s="581">
        <f>SUMIF('CF.2'!$H$64:$H$98,'CF.1'!E285,'CF.2'!$J$64:$J$98)+SUMIF('CF.2'!$K$64:$K$98,'CF.1'!E285,'CF.2'!$M$64:$M$98)</f>
        <v>0</v>
      </c>
      <c r="P285" s="581">
        <f>SUMIF('CF.2'!$H$102:$H$108,'CF.1'!E285,'CF.2'!$J$102:$J$108)+SUMIF('CF.2'!$K$102:$K$108,'CF.1'!E285,'CF.2'!$M$102:$M$108)</f>
        <v>0</v>
      </c>
      <c r="Q285" s="581">
        <f>SUMIF('CF.2'!$H$113:$H$121,'CF.1'!E285,'CF.2'!$J$113:$J$121)+SUMIF('CF.2'!$K$113:$K$121,'CF.1'!E285,'CF.2'!$M$113:$M$121)</f>
        <v>0</v>
      </c>
      <c r="R285" s="582">
        <f t="shared" si="32"/>
        <v>0</v>
      </c>
      <c r="T285" s="584">
        <f t="shared" si="34"/>
        <v>-11685490</v>
      </c>
    </row>
    <row r="286" spans="3:20" ht="18" customHeight="1">
      <c r="C286" s="6">
        <v>1</v>
      </c>
      <c r="D286" s="578" t="s">
        <v>1210</v>
      </c>
      <c r="E286" s="579" t="s">
        <v>1370</v>
      </c>
      <c r="F286" s="580" t="s">
        <v>1488</v>
      </c>
      <c r="G286" s="579" t="s">
        <v>1362</v>
      </c>
      <c r="H286" s="879">
        <v>-457048996</v>
      </c>
      <c r="I286" s="581">
        <v>0</v>
      </c>
      <c r="J286" s="581">
        <v>-2423430</v>
      </c>
      <c r="K286" s="582">
        <f t="shared" si="33"/>
        <v>-459472426</v>
      </c>
      <c r="M286" s="583">
        <f>SUMIF('CF.2'!$H$5:$H$24,'CF.1'!E286,'CF.2'!$J$5:$J$24)-SUMIF('CF.2'!$K$5:$K$24,'CF.1'!E286,'CF.2'!$M$5:$M$24)</f>
        <v>0</v>
      </c>
      <c r="N286" s="581">
        <f>SUMIF('CF.2'!$H$30:$H$59,'CF.1'!E286,'CF.2'!$J$30:$J$59)+SUMIF('CF.2'!$K$30:$K$59,'CF.1'!E286,'CF.2'!$M$30:$M$59)</f>
        <v>0</v>
      </c>
      <c r="O286" s="581">
        <f>SUMIF('CF.2'!$H$64:$H$98,'CF.1'!E286,'CF.2'!$J$64:$J$98)+SUMIF('CF.2'!$K$64:$K$98,'CF.1'!E286,'CF.2'!$M$64:$M$98)</f>
        <v>0</v>
      </c>
      <c r="P286" s="581">
        <f>SUMIF('CF.2'!$H$102:$H$108,'CF.1'!E286,'CF.2'!$J$102:$J$108)+SUMIF('CF.2'!$K$102:$K$108,'CF.1'!E286,'CF.2'!$M$102:$M$108)</f>
        <v>0</v>
      </c>
      <c r="Q286" s="581">
        <f>SUMIF('CF.2'!$H$113:$H$121,'CF.1'!E286,'CF.2'!$J$113:$J$121)+SUMIF('CF.2'!$K$113:$K$121,'CF.1'!E286,'CF.2'!$M$113:$M$121)</f>
        <v>0</v>
      </c>
      <c r="R286" s="582">
        <f t="shared" si="32"/>
        <v>0</v>
      </c>
      <c r="T286" s="584">
        <f t="shared" si="34"/>
        <v>-459472426</v>
      </c>
    </row>
    <row r="287" spans="3:20" ht="18" customHeight="1">
      <c r="C287" s="6">
        <v>1</v>
      </c>
      <c r="D287" s="578" t="s">
        <v>1210</v>
      </c>
      <c r="E287" s="579" t="s">
        <v>1371</v>
      </c>
      <c r="F287" s="580" t="s">
        <v>1488</v>
      </c>
      <c r="G287" s="579" t="s">
        <v>1211</v>
      </c>
      <c r="H287" s="879">
        <v>-785354594</v>
      </c>
      <c r="I287" s="581">
        <v>0</v>
      </c>
      <c r="J287" s="581">
        <v>0</v>
      </c>
      <c r="K287" s="582">
        <f t="shared" si="33"/>
        <v>-785354594</v>
      </c>
      <c r="M287" s="583">
        <f>SUMIF('CF.2'!$H$5:$H$24,'CF.1'!E287,'CF.2'!$J$5:$J$24)-SUMIF('CF.2'!$K$5:$K$24,'CF.1'!E287,'CF.2'!$M$5:$M$24)</f>
        <v>0</v>
      </c>
      <c r="N287" s="581">
        <f>SUMIF('CF.2'!$H$30:$H$59,'CF.1'!E287,'CF.2'!$J$30:$J$59)+SUMIF('CF.2'!$K$30:$K$59,'CF.1'!E287,'CF.2'!$M$30:$M$59)</f>
        <v>0</v>
      </c>
      <c r="O287" s="581">
        <f>SUMIF('CF.2'!$H$64:$H$98,'CF.1'!E287,'CF.2'!$J$64:$J$98)+SUMIF('CF.2'!$K$64:$K$98,'CF.1'!E287,'CF.2'!$M$64:$M$98)</f>
        <v>0</v>
      </c>
      <c r="P287" s="581">
        <f>SUMIF('CF.2'!$H$102:$H$108,'CF.1'!E287,'CF.2'!$J$102:$J$108)+SUMIF('CF.2'!$K$102:$K$108,'CF.1'!E287,'CF.2'!$M$102:$M$108)</f>
        <v>0</v>
      </c>
      <c r="Q287" s="581">
        <f>SUMIF('CF.2'!$H$113:$H$121,'CF.1'!E287,'CF.2'!$J$113:$J$121)+SUMIF('CF.2'!$K$113:$K$121,'CF.1'!E287,'CF.2'!$M$113:$M$121)</f>
        <v>0</v>
      </c>
      <c r="R287" s="582">
        <f t="shared" si="32"/>
        <v>0</v>
      </c>
      <c r="T287" s="584">
        <f t="shared" si="34"/>
        <v>-785354594</v>
      </c>
    </row>
    <row r="288" spans="3:20" ht="18" customHeight="1">
      <c r="C288" s="6">
        <v>1</v>
      </c>
      <c r="D288" s="578" t="s">
        <v>1212</v>
      </c>
      <c r="E288" s="579" t="s">
        <v>1212</v>
      </c>
      <c r="F288" s="580"/>
      <c r="G288" s="579" t="s">
        <v>1213</v>
      </c>
      <c r="H288" s="581">
        <v>0</v>
      </c>
      <c r="I288" s="581">
        <v>0</v>
      </c>
      <c r="J288" s="581">
        <v>0</v>
      </c>
      <c r="K288" s="582">
        <f t="shared" si="33"/>
        <v>0</v>
      </c>
      <c r="M288" s="583">
        <f>SUMIF('CF.2'!$H$5:$H$24,'CF.1'!E288,'CF.2'!$J$5:$J$24)-SUMIF('CF.2'!$K$5:$K$24,'CF.1'!E288,'CF.2'!$M$5:$M$24)</f>
        <v>0</v>
      </c>
      <c r="N288" s="581">
        <f>SUMIF('CF.2'!$H$30:$H$59,'CF.1'!E288,'CF.2'!$J$30:$J$59)+SUMIF('CF.2'!$K$30:$K$59,'CF.1'!E288,'CF.2'!$M$30:$M$59)</f>
        <v>0</v>
      </c>
      <c r="O288" s="581">
        <f>SUMIF('CF.2'!$H$64:$H$98,'CF.1'!E288,'CF.2'!$J$64:$J$98)+SUMIF('CF.2'!$K$64:$K$98,'CF.1'!E288,'CF.2'!$M$64:$M$98)</f>
        <v>0</v>
      </c>
      <c r="P288" s="581">
        <f>SUMIF('CF.2'!$H$102:$H$108,'CF.1'!E288,'CF.2'!$J$102:$J$108)+SUMIF('CF.2'!$K$102:$K$108,'CF.1'!E288,'CF.2'!$M$102:$M$108)</f>
        <v>0</v>
      </c>
      <c r="Q288" s="581">
        <f>SUMIF('CF.2'!$H$113:$H$121,'CF.1'!E288,'CF.2'!$J$113:$J$121)+SUMIF('CF.2'!$K$113:$K$121,'CF.1'!E288,'CF.2'!$M$113:$M$121)</f>
        <v>0</v>
      </c>
      <c r="R288" s="582">
        <f t="shared" si="32"/>
        <v>0</v>
      </c>
      <c r="T288" s="584">
        <f t="shared" si="34"/>
        <v>0</v>
      </c>
    </row>
    <row r="289" spans="3:22" ht="18" customHeight="1">
      <c r="C289" s="6">
        <v>1</v>
      </c>
      <c r="D289" s="578" t="s">
        <v>1214</v>
      </c>
      <c r="E289" s="579" t="s">
        <v>1214</v>
      </c>
      <c r="F289" s="580"/>
      <c r="G289" s="579" t="s">
        <v>1215</v>
      </c>
      <c r="H289" s="581">
        <v>0</v>
      </c>
      <c r="I289" s="581">
        <v>0</v>
      </c>
      <c r="J289" s="581">
        <v>0</v>
      </c>
      <c r="K289" s="582">
        <f t="shared" si="33"/>
        <v>0</v>
      </c>
      <c r="M289" s="583">
        <f>SUMIF('CF.2'!$H$5:$H$24,'CF.1'!E289,'CF.2'!$J$5:$J$24)-SUMIF('CF.2'!$K$5:$K$24,'CF.1'!E289,'CF.2'!$M$5:$M$24)</f>
        <v>0</v>
      </c>
      <c r="N289" s="581">
        <f>SUMIF('CF.2'!$H$30:$H$59,'CF.1'!E289,'CF.2'!$J$30:$J$59)+SUMIF('CF.2'!$K$30:$K$59,'CF.1'!E289,'CF.2'!$M$30:$M$59)</f>
        <v>0</v>
      </c>
      <c r="O289" s="581">
        <f>SUMIF('CF.2'!$H$64:$H$98,'CF.1'!E289,'CF.2'!$J$64:$J$98)+SUMIF('CF.2'!$K$64:$K$98,'CF.1'!E289,'CF.2'!$M$64:$M$98)</f>
        <v>0</v>
      </c>
      <c r="P289" s="581">
        <f>SUMIF('CF.2'!$H$102:$H$108,'CF.1'!E289,'CF.2'!$J$102:$J$108)+SUMIF('CF.2'!$K$102:$K$108,'CF.1'!E289,'CF.2'!$M$102:$M$108)</f>
        <v>0</v>
      </c>
      <c r="Q289" s="581">
        <f>SUMIF('CF.2'!$H$113:$H$121,'CF.1'!E289,'CF.2'!$J$113:$J$121)+SUMIF('CF.2'!$K$113:$K$121,'CF.1'!E289,'CF.2'!$M$113:$M$121)</f>
        <v>0</v>
      </c>
      <c r="R289" s="582">
        <f t="shared" si="32"/>
        <v>0</v>
      </c>
      <c r="T289" s="584">
        <f t="shared" si="34"/>
        <v>0</v>
      </c>
    </row>
    <row r="290" spans="3:22" ht="18" customHeight="1">
      <c r="C290" s="6">
        <v>1</v>
      </c>
      <c r="D290" s="578" t="s">
        <v>1216</v>
      </c>
      <c r="E290" s="579" t="s">
        <v>1216</v>
      </c>
      <c r="F290" s="588" t="s">
        <v>1789</v>
      </c>
      <c r="G290" s="579" t="s">
        <v>1217</v>
      </c>
      <c r="H290" s="581">
        <v>0</v>
      </c>
      <c r="I290" s="581">
        <v>0</v>
      </c>
      <c r="J290" s="581">
        <v>0</v>
      </c>
      <c r="K290" s="582">
        <f t="shared" si="33"/>
        <v>0</v>
      </c>
      <c r="M290" s="583">
        <f>SUMIF('CF.2'!$H$5:$H$24,'CF.1'!E290,'CF.2'!$J$5:$J$24)-SUMIF('CF.2'!$K$5:$K$24,'CF.1'!E290,'CF.2'!$M$5:$M$24)</f>
        <v>0</v>
      </c>
      <c r="N290" s="581">
        <f>SUMIF('CF.2'!$H$30:$H$59,'CF.1'!E290,'CF.2'!$J$30:$J$59)+SUMIF('CF.2'!$K$30:$K$59,'CF.1'!E290,'CF.2'!$M$30:$M$59)</f>
        <v>0</v>
      </c>
      <c r="O290" s="581">
        <f>SUMIF('CF.2'!$H$64:$H$98,'CF.1'!E290,'CF.2'!$J$64:$J$98)+SUMIF('CF.2'!$K$64:$K$98,'CF.1'!E290,'CF.2'!$M$64:$M$98)</f>
        <v>0</v>
      </c>
      <c r="P290" s="581">
        <f>SUMIF('CF.2'!$H$102:$H$108,'CF.1'!E290,'CF.2'!$J$102:$J$108)+SUMIF('CF.2'!$K$102:$K$108,'CF.1'!E290,'CF.2'!$M$102:$M$108)</f>
        <v>0</v>
      </c>
      <c r="Q290" s="581">
        <f>SUMIF('CF.2'!$H$113:$H$121,'CF.1'!E290,'CF.2'!$J$113:$J$121)+SUMIF('CF.2'!$K$113:$K$121,'CF.1'!E290,'CF.2'!$M$113:$M$121)</f>
        <v>0</v>
      </c>
      <c r="R290" s="582">
        <f t="shared" si="32"/>
        <v>0</v>
      </c>
      <c r="T290" s="584">
        <f t="shared" si="34"/>
        <v>0</v>
      </c>
    </row>
    <row r="291" spans="3:22" ht="18" customHeight="1">
      <c r="C291" s="6">
        <v>1</v>
      </c>
      <c r="D291" s="578" t="s">
        <v>1218</v>
      </c>
      <c r="E291" s="579" t="s">
        <v>1218</v>
      </c>
      <c r="F291" s="580"/>
      <c r="G291" s="579" t="s">
        <v>1219</v>
      </c>
      <c r="H291" s="581">
        <v>0</v>
      </c>
      <c r="I291" s="581">
        <v>0</v>
      </c>
      <c r="J291" s="581">
        <v>0</v>
      </c>
      <c r="K291" s="582">
        <f t="shared" si="33"/>
        <v>0</v>
      </c>
      <c r="M291" s="583">
        <f>SUMIF('CF.2'!$H$5:$H$24,'CF.1'!E291,'CF.2'!$J$5:$J$24)-SUMIF('CF.2'!$K$5:$K$24,'CF.1'!E291,'CF.2'!$M$5:$M$24)</f>
        <v>0</v>
      </c>
      <c r="N291" s="581">
        <f>SUMIF('CF.2'!$H$30:$H$59,'CF.1'!E291,'CF.2'!$J$30:$J$59)+SUMIF('CF.2'!$K$30:$K$59,'CF.1'!E291,'CF.2'!$M$30:$M$59)</f>
        <v>0</v>
      </c>
      <c r="O291" s="581">
        <f>SUMIF('CF.2'!$H$64:$H$98,'CF.1'!E291,'CF.2'!$J$64:$J$98)+SUMIF('CF.2'!$K$64:$K$98,'CF.1'!E291,'CF.2'!$M$64:$M$98)</f>
        <v>0</v>
      </c>
      <c r="P291" s="581">
        <f>SUMIF('CF.2'!$H$102:$H$108,'CF.1'!E291,'CF.2'!$J$102:$J$108)+SUMIF('CF.2'!$K$102:$K$108,'CF.1'!E291,'CF.2'!$M$102:$M$108)</f>
        <v>0</v>
      </c>
      <c r="Q291" s="581">
        <f>SUMIF('CF.2'!$H$113:$H$121,'CF.1'!E291,'CF.2'!$J$113:$J$121)+SUMIF('CF.2'!$K$113:$K$121,'CF.1'!E291,'CF.2'!$M$113:$M$121)</f>
        <v>0</v>
      </c>
      <c r="R291" s="582">
        <f t="shared" si="32"/>
        <v>0</v>
      </c>
      <c r="T291" s="584">
        <f t="shared" si="34"/>
        <v>0</v>
      </c>
    </row>
    <row r="292" spans="3:22" ht="18" customHeight="1">
      <c r="C292" s="6">
        <v>1</v>
      </c>
      <c r="D292" s="578" t="s">
        <v>1220</v>
      </c>
      <c r="E292" s="579" t="s">
        <v>1220</v>
      </c>
      <c r="F292" s="580" t="s">
        <v>1525</v>
      </c>
      <c r="G292" s="579" t="s">
        <v>1221</v>
      </c>
      <c r="H292" s="581">
        <v>0</v>
      </c>
      <c r="I292" s="581">
        <v>0</v>
      </c>
      <c r="J292" s="581">
        <v>0</v>
      </c>
      <c r="K292" s="582">
        <f t="shared" si="33"/>
        <v>0</v>
      </c>
      <c r="M292" s="583">
        <f>SUMIF('CF.2'!$H$5:$H$24,'CF.1'!E292,'CF.2'!$J$5:$J$24)-SUMIF('CF.2'!$K$5:$K$24,'CF.1'!E292,'CF.2'!$M$5:$M$24)</f>
        <v>0</v>
      </c>
      <c r="N292" s="581">
        <f>SUMIF('CF.2'!$H$30:$H$59,'CF.1'!E292,'CF.2'!$J$30:$J$59)+SUMIF('CF.2'!$K$30:$K$59,'CF.1'!E292,'CF.2'!$M$30:$M$59)</f>
        <v>0</v>
      </c>
      <c r="O292" s="581">
        <f>SUMIF('CF.2'!$H$64:$H$98,'CF.1'!E292,'CF.2'!$J$64:$J$98)+SUMIF('CF.2'!$K$64:$K$98,'CF.1'!E292,'CF.2'!$M$64:$M$98)</f>
        <v>0</v>
      </c>
      <c r="P292" s="581">
        <f>SUMIF('CF.2'!$H$102:$H$108,'CF.1'!E292,'CF.2'!$J$102:$J$108)+SUMIF('CF.2'!$K$102:$K$108,'CF.1'!E292,'CF.2'!$M$102:$M$108)</f>
        <v>0</v>
      </c>
      <c r="Q292" s="581">
        <f>SUMIF('CF.2'!$H$113:$H$121,'CF.1'!E292,'CF.2'!$J$113:$J$121)+SUMIF('CF.2'!$K$113:$K$121,'CF.1'!E292,'CF.2'!$M$113:$M$121)</f>
        <v>0</v>
      </c>
      <c r="R292" s="582">
        <f t="shared" si="32"/>
        <v>0</v>
      </c>
      <c r="T292" s="584">
        <f t="shared" si="34"/>
        <v>0</v>
      </c>
    </row>
    <row r="293" spans="3:22" ht="18" customHeight="1">
      <c r="C293" s="6">
        <v>1</v>
      </c>
      <c r="D293" s="578" t="s">
        <v>1222</v>
      </c>
      <c r="E293" s="579" t="s">
        <v>1222</v>
      </c>
      <c r="F293" s="580"/>
      <c r="G293" s="579" t="s">
        <v>1223</v>
      </c>
      <c r="H293" s="581">
        <v>0</v>
      </c>
      <c r="I293" s="581">
        <v>0</v>
      </c>
      <c r="J293" s="581">
        <v>0</v>
      </c>
      <c r="K293" s="582">
        <f t="shared" si="33"/>
        <v>0</v>
      </c>
      <c r="M293" s="583">
        <f>SUMIF('CF.2'!$H$5:$H$24,'CF.1'!E293,'CF.2'!$J$5:$J$24)-SUMIF('CF.2'!$K$5:$K$24,'CF.1'!E293,'CF.2'!$M$5:$M$24)</f>
        <v>0</v>
      </c>
      <c r="N293" s="581">
        <f>SUMIF('CF.2'!$H$30:$H$59,'CF.1'!E293,'CF.2'!$J$30:$J$59)+SUMIF('CF.2'!$K$30:$K$59,'CF.1'!E293,'CF.2'!$M$30:$M$59)</f>
        <v>0</v>
      </c>
      <c r="O293" s="581">
        <f>SUMIF('CF.2'!$H$64:$H$98,'CF.1'!E293,'CF.2'!$J$64:$J$98)+SUMIF('CF.2'!$K$64:$K$98,'CF.1'!E293,'CF.2'!$M$64:$M$98)</f>
        <v>0</v>
      </c>
      <c r="P293" s="581">
        <f>SUMIF('CF.2'!$H$102:$H$108,'CF.1'!E293,'CF.2'!$J$102:$J$108)+SUMIF('CF.2'!$K$102:$K$108,'CF.1'!E293,'CF.2'!$M$102:$M$108)</f>
        <v>0</v>
      </c>
      <c r="Q293" s="581">
        <f>SUMIF('CF.2'!$H$113:$H$121,'CF.1'!E293,'CF.2'!$J$113:$J$121)+SUMIF('CF.2'!$K$113:$K$121,'CF.1'!E293,'CF.2'!$M$113:$M$121)</f>
        <v>0</v>
      </c>
      <c r="R293" s="582">
        <f t="shared" si="32"/>
        <v>0</v>
      </c>
      <c r="T293" s="584">
        <f t="shared" si="34"/>
        <v>0</v>
      </c>
    </row>
    <row r="294" spans="3:22" ht="18" customHeight="1">
      <c r="C294" s="6">
        <v>1</v>
      </c>
      <c r="D294" s="578" t="s">
        <v>1224</v>
      </c>
      <c r="E294" s="579" t="s">
        <v>1224</v>
      </c>
      <c r="F294" s="580"/>
      <c r="G294" s="579" t="s">
        <v>1225</v>
      </c>
      <c r="H294" s="581">
        <v>0</v>
      </c>
      <c r="I294" s="581">
        <v>0</v>
      </c>
      <c r="J294" s="581">
        <v>0</v>
      </c>
      <c r="K294" s="582">
        <f t="shared" si="33"/>
        <v>0</v>
      </c>
      <c r="M294" s="583">
        <f>SUMIF('CF.2'!$H$5:$H$24,'CF.1'!E294,'CF.2'!$J$5:$J$24)-SUMIF('CF.2'!$K$5:$K$24,'CF.1'!E294,'CF.2'!$M$5:$M$24)</f>
        <v>0</v>
      </c>
      <c r="N294" s="581">
        <f>SUMIF('CF.2'!$H$30:$H$59,'CF.1'!E294,'CF.2'!$J$30:$J$59)+SUMIF('CF.2'!$K$30:$K$59,'CF.1'!E294,'CF.2'!$M$30:$M$59)</f>
        <v>0</v>
      </c>
      <c r="O294" s="581">
        <f>SUMIF('CF.2'!$H$64:$H$98,'CF.1'!E294,'CF.2'!$J$64:$J$98)+SUMIF('CF.2'!$K$64:$K$98,'CF.1'!E294,'CF.2'!$M$64:$M$98)</f>
        <v>0</v>
      </c>
      <c r="P294" s="581">
        <f>SUMIF('CF.2'!$H$102:$H$108,'CF.1'!E294,'CF.2'!$J$102:$J$108)+SUMIF('CF.2'!$K$102:$K$108,'CF.1'!E294,'CF.2'!$M$102:$M$108)</f>
        <v>0</v>
      </c>
      <c r="Q294" s="581">
        <f>SUMIF('CF.2'!$H$113:$H$121,'CF.1'!E294,'CF.2'!$J$113:$J$121)+SUMIF('CF.2'!$K$113:$K$121,'CF.1'!E294,'CF.2'!$M$113:$M$121)</f>
        <v>0</v>
      </c>
      <c r="R294" s="582">
        <f t="shared" si="32"/>
        <v>0</v>
      </c>
      <c r="T294" s="584">
        <f t="shared" si="34"/>
        <v>0</v>
      </c>
    </row>
    <row r="295" spans="3:22" ht="18" customHeight="1">
      <c r="C295" s="6">
        <v>1</v>
      </c>
      <c r="D295" s="578" t="s">
        <v>1226</v>
      </c>
      <c r="E295" s="579" t="s">
        <v>1226</v>
      </c>
      <c r="F295" s="580"/>
      <c r="G295" s="579" t="s">
        <v>1227</v>
      </c>
      <c r="H295" s="581">
        <v>0</v>
      </c>
      <c r="I295" s="581">
        <v>0</v>
      </c>
      <c r="J295" s="581">
        <v>0</v>
      </c>
      <c r="K295" s="582">
        <f t="shared" si="33"/>
        <v>0</v>
      </c>
      <c r="M295" s="583">
        <f>SUMIF('CF.2'!$H$5:$H$24,'CF.1'!E295,'CF.2'!$J$5:$J$24)-SUMIF('CF.2'!$K$5:$K$24,'CF.1'!E295,'CF.2'!$M$5:$M$24)</f>
        <v>0</v>
      </c>
      <c r="N295" s="581">
        <f>SUMIF('CF.2'!$H$30:$H$59,'CF.1'!E295,'CF.2'!$J$30:$J$59)+SUMIF('CF.2'!$K$30:$K$59,'CF.1'!E295,'CF.2'!$M$30:$M$59)</f>
        <v>0</v>
      </c>
      <c r="O295" s="581">
        <f>SUMIF('CF.2'!$H$64:$H$98,'CF.1'!E295,'CF.2'!$J$64:$J$98)+SUMIF('CF.2'!$K$64:$K$98,'CF.1'!E295,'CF.2'!$M$64:$M$98)</f>
        <v>0</v>
      </c>
      <c r="P295" s="581">
        <f>SUMIF('CF.2'!$H$102:$H$108,'CF.1'!E295,'CF.2'!$J$102:$J$108)+SUMIF('CF.2'!$K$102:$K$108,'CF.1'!E295,'CF.2'!$M$102:$M$108)</f>
        <v>0</v>
      </c>
      <c r="Q295" s="581">
        <f>SUMIF('CF.2'!$H$113:$H$121,'CF.1'!E295,'CF.2'!$J$113:$J$121)+SUMIF('CF.2'!$K$113:$K$121,'CF.1'!E295,'CF.2'!$M$113:$M$121)</f>
        <v>0</v>
      </c>
      <c r="R295" s="582">
        <f t="shared" si="32"/>
        <v>0</v>
      </c>
      <c r="T295" s="584">
        <f t="shared" si="34"/>
        <v>0</v>
      </c>
    </row>
    <row r="296" spans="3:22" ht="18" customHeight="1">
      <c r="C296" s="6">
        <v>1</v>
      </c>
      <c r="D296" s="578" t="s">
        <v>1228</v>
      </c>
      <c r="E296" s="579" t="s">
        <v>1228</v>
      </c>
      <c r="F296" s="580"/>
      <c r="G296" s="579" t="s">
        <v>1229</v>
      </c>
      <c r="H296" s="581">
        <v>0</v>
      </c>
      <c r="I296" s="581">
        <v>0</v>
      </c>
      <c r="J296" s="581">
        <v>0</v>
      </c>
      <c r="K296" s="582">
        <f t="shared" si="33"/>
        <v>0</v>
      </c>
      <c r="M296" s="583">
        <f>SUMIF('CF.2'!$H$5:$H$24,'CF.1'!E296,'CF.2'!$J$5:$J$24)-SUMIF('CF.2'!$K$5:$K$24,'CF.1'!E296,'CF.2'!$M$5:$M$24)</f>
        <v>0</v>
      </c>
      <c r="N296" s="581">
        <f>SUMIF('CF.2'!$H$30:$H$59,'CF.1'!E296,'CF.2'!$J$30:$J$59)+SUMIF('CF.2'!$K$30:$K$59,'CF.1'!E296,'CF.2'!$M$30:$M$59)</f>
        <v>0</v>
      </c>
      <c r="O296" s="581">
        <f>SUMIF('CF.2'!$H$64:$H$98,'CF.1'!E296,'CF.2'!$J$64:$J$98)+SUMIF('CF.2'!$K$64:$K$98,'CF.1'!E296,'CF.2'!$M$64:$M$98)</f>
        <v>0</v>
      </c>
      <c r="P296" s="581">
        <f>SUMIF('CF.2'!$H$102:$H$108,'CF.1'!E296,'CF.2'!$J$102:$J$108)+SUMIF('CF.2'!$K$102:$K$108,'CF.1'!E296,'CF.2'!$M$102:$M$108)</f>
        <v>0</v>
      </c>
      <c r="Q296" s="581">
        <f>SUMIF('CF.2'!$H$113:$H$121,'CF.1'!E296,'CF.2'!$J$113:$J$121)+SUMIF('CF.2'!$K$113:$K$121,'CF.1'!E296,'CF.2'!$M$113:$M$121)</f>
        <v>0</v>
      </c>
      <c r="R296" s="582">
        <f t="shared" si="32"/>
        <v>0</v>
      </c>
      <c r="T296" s="584">
        <f t="shared" si="34"/>
        <v>0</v>
      </c>
    </row>
    <row r="297" spans="3:22" ht="18" customHeight="1">
      <c r="C297" s="6">
        <v>1</v>
      </c>
      <c r="D297" s="578" t="s">
        <v>1230</v>
      </c>
      <c r="E297" s="579" t="s">
        <v>1230</v>
      </c>
      <c r="F297" s="580"/>
      <c r="G297" s="579" t="s">
        <v>1231</v>
      </c>
      <c r="H297" s="581">
        <v>0</v>
      </c>
      <c r="I297" s="581">
        <v>0</v>
      </c>
      <c r="J297" s="581">
        <v>0</v>
      </c>
      <c r="K297" s="582">
        <f t="shared" si="33"/>
        <v>0</v>
      </c>
      <c r="M297" s="583">
        <f>SUMIF('CF.2'!$H$5:$H$24,'CF.1'!E297,'CF.2'!$J$5:$J$24)-SUMIF('CF.2'!$K$5:$K$24,'CF.1'!E297,'CF.2'!$M$5:$M$24)</f>
        <v>0</v>
      </c>
      <c r="N297" s="581">
        <f>SUMIF('CF.2'!$H$30:$H$59,'CF.1'!E297,'CF.2'!$J$30:$J$59)+SUMIF('CF.2'!$K$30:$K$59,'CF.1'!E297,'CF.2'!$M$30:$M$59)</f>
        <v>0</v>
      </c>
      <c r="O297" s="581">
        <f>SUMIF('CF.2'!$H$64:$H$98,'CF.1'!E297,'CF.2'!$J$64:$J$98)+SUMIF('CF.2'!$K$64:$K$98,'CF.1'!E297,'CF.2'!$M$64:$M$98)</f>
        <v>0</v>
      </c>
      <c r="P297" s="581">
        <f>SUMIF('CF.2'!$H$102:$H$108,'CF.1'!E297,'CF.2'!$J$102:$J$108)+SUMIF('CF.2'!$K$102:$K$108,'CF.1'!E297,'CF.2'!$M$102:$M$108)</f>
        <v>0</v>
      </c>
      <c r="Q297" s="581">
        <f>SUMIF('CF.2'!$H$113:$H$121,'CF.1'!E297,'CF.2'!$J$113:$J$121)+SUMIF('CF.2'!$K$113:$K$121,'CF.1'!E297,'CF.2'!$M$113:$M$121)</f>
        <v>0</v>
      </c>
      <c r="R297" s="582">
        <f t="shared" si="32"/>
        <v>0</v>
      </c>
      <c r="T297" s="584">
        <f t="shared" si="34"/>
        <v>0</v>
      </c>
    </row>
    <row r="298" spans="3:22" ht="18" customHeight="1">
      <c r="C298" s="6">
        <v>1</v>
      </c>
      <c r="D298" s="578" t="s">
        <v>1232</v>
      </c>
      <c r="E298" s="579" t="s">
        <v>1232</v>
      </c>
      <c r="F298" s="580"/>
      <c r="G298" s="579" t="s">
        <v>1233</v>
      </c>
      <c r="H298" s="581">
        <v>0</v>
      </c>
      <c r="I298" s="581">
        <v>0</v>
      </c>
      <c r="J298" s="581">
        <v>0</v>
      </c>
      <c r="K298" s="582">
        <f t="shared" si="33"/>
        <v>0</v>
      </c>
      <c r="M298" s="583">
        <f>SUMIF('CF.2'!$H$5:$H$24,'CF.1'!E298,'CF.2'!$J$5:$J$24)-SUMIF('CF.2'!$K$5:$K$24,'CF.1'!E298,'CF.2'!$M$5:$M$24)</f>
        <v>0</v>
      </c>
      <c r="N298" s="581">
        <f>SUMIF('CF.2'!$H$30:$H$59,'CF.1'!E298,'CF.2'!$J$30:$J$59)+SUMIF('CF.2'!$K$30:$K$59,'CF.1'!E298,'CF.2'!$M$30:$M$59)</f>
        <v>0</v>
      </c>
      <c r="O298" s="581">
        <f>SUMIF('CF.2'!$H$64:$H$98,'CF.1'!E298,'CF.2'!$J$64:$J$98)+SUMIF('CF.2'!$K$64:$K$98,'CF.1'!E298,'CF.2'!$M$64:$M$98)</f>
        <v>0</v>
      </c>
      <c r="P298" s="581">
        <f>SUMIF('CF.2'!$H$102:$H$108,'CF.1'!E298,'CF.2'!$J$102:$J$108)+SUMIF('CF.2'!$K$102:$K$108,'CF.1'!E298,'CF.2'!$M$102:$M$108)</f>
        <v>0</v>
      </c>
      <c r="Q298" s="581">
        <f>SUMIF('CF.2'!$H$113:$H$121,'CF.1'!E298,'CF.2'!$J$113:$J$121)+SUMIF('CF.2'!$K$113:$K$121,'CF.1'!E298,'CF.2'!$M$113:$M$121)</f>
        <v>0</v>
      </c>
      <c r="R298" s="582">
        <f t="shared" si="32"/>
        <v>0</v>
      </c>
      <c r="T298" s="584">
        <f t="shared" si="34"/>
        <v>0</v>
      </c>
    </row>
    <row r="299" spans="3:22" ht="18" customHeight="1">
      <c r="C299" s="6">
        <v>1</v>
      </c>
      <c r="D299" s="578" t="s">
        <v>1234</v>
      </c>
      <c r="E299" s="579" t="s">
        <v>1234</v>
      </c>
      <c r="F299" s="580" t="s">
        <v>1525</v>
      </c>
      <c r="G299" s="579" t="s">
        <v>1235</v>
      </c>
      <c r="H299" s="581">
        <v>0</v>
      </c>
      <c r="I299" s="581">
        <v>0</v>
      </c>
      <c r="J299" s="581">
        <v>0</v>
      </c>
      <c r="K299" s="582">
        <f t="shared" si="33"/>
        <v>0</v>
      </c>
      <c r="M299" s="583">
        <f>SUMIF('CF.2'!$H$5:$H$24,'CF.1'!E299,'CF.2'!$J$5:$J$24)-SUMIF('CF.2'!$K$5:$K$24,'CF.1'!E299,'CF.2'!$M$5:$M$24)</f>
        <v>0</v>
      </c>
      <c r="N299" s="581">
        <f>SUMIF('CF.2'!$H$30:$H$59,'CF.1'!E299,'CF.2'!$J$30:$J$59)+SUMIF('CF.2'!$K$30:$K$59,'CF.1'!E299,'CF.2'!$M$30:$M$59)</f>
        <v>0</v>
      </c>
      <c r="O299" s="581">
        <f>SUMIF('CF.2'!$H$64:$H$98,'CF.1'!E299,'CF.2'!$J$64:$J$98)+SUMIF('CF.2'!$K$64:$K$98,'CF.1'!E299,'CF.2'!$M$64:$M$98)</f>
        <v>0</v>
      </c>
      <c r="P299" s="581">
        <f>SUMIF('CF.2'!$H$102:$H$108,'CF.1'!E299,'CF.2'!$J$102:$J$108)+SUMIF('CF.2'!$K$102:$K$108,'CF.1'!E299,'CF.2'!$M$102:$M$108)</f>
        <v>0</v>
      </c>
      <c r="Q299" s="581">
        <f>SUMIF('CF.2'!$H$113:$H$121,'CF.1'!E299,'CF.2'!$J$113:$J$121)+SUMIF('CF.2'!$K$113:$K$121,'CF.1'!E299,'CF.2'!$M$113:$M$121)</f>
        <v>0</v>
      </c>
      <c r="R299" s="582">
        <f t="shared" si="32"/>
        <v>0</v>
      </c>
      <c r="T299" s="584">
        <f t="shared" si="34"/>
        <v>0</v>
      </c>
    </row>
    <row r="300" spans="3:22" ht="18" customHeight="1">
      <c r="C300" s="6">
        <v>1</v>
      </c>
      <c r="D300" s="571" t="s">
        <v>1236</v>
      </c>
      <c r="E300" s="572" t="s">
        <v>1236</v>
      </c>
      <c r="F300" s="573"/>
      <c r="G300" s="572" t="s">
        <v>1237</v>
      </c>
      <c r="H300" s="574">
        <f>SUM(H301,H323)</f>
        <v>-2047941235</v>
      </c>
      <c r="I300" s="574">
        <f>SUM(I301,I323)</f>
        <v>-12934791</v>
      </c>
      <c r="J300" s="574">
        <f>SUM(J301,J323)</f>
        <v>-268454125</v>
      </c>
      <c r="K300" s="575">
        <f>SUM(K301,K323)</f>
        <v>-2329330151</v>
      </c>
      <c r="M300" s="576">
        <f t="shared" ref="M300:R300" si="35">SUM(M301,M323)</f>
        <v>0</v>
      </c>
      <c r="N300" s="574">
        <f t="shared" si="35"/>
        <v>0</v>
      </c>
      <c r="O300" s="574">
        <f t="shared" si="35"/>
        <v>0</v>
      </c>
      <c r="P300" s="574">
        <f t="shared" si="35"/>
        <v>0</v>
      </c>
      <c r="Q300" s="574">
        <f t="shared" si="35"/>
        <v>0</v>
      </c>
      <c r="R300" s="575">
        <f t="shared" si="35"/>
        <v>0</v>
      </c>
      <c r="T300" s="577">
        <f>SUM(T301,T323)</f>
        <v>-2329330151</v>
      </c>
    </row>
    <row r="301" spans="3:22" ht="18" customHeight="1">
      <c r="C301" s="6">
        <v>1</v>
      </c>
      <c r="D301" s="571" t="s">
        <v>1238</v>
      </c>
      <c r="E301" s="572" t="s">
        <v>1238</v>
      </c>
      <c r="F301" s="573"/>
      <c r="G301" s="572" t="s">
        <v>1239</v>
      </c>
      <c r="H301" s="574">
        <f>SUM(H302:H322)</f>
        <v>0</v>
      </c>
      <c r="I301" s="574">
        <f>SUM(I302:I322)</f>
        <v>0</v>
      </c>
      <c r="J301" s="574">
        <f>SUM(J302:J322)</f>
        <v>0</v>
      </c>
      <c r="K301" s="575">
        <f>SUM(K302:K322)</f>
        <v>0</v>
      </c>
      <c r="M301" s="576">
        <f t="shared" ref="M301:R301" si="36">SUM(M302:M322)</f>
        <v>0</v>
      </c>
      <c r="N301" s="574">
        <f t="shared" si="36"/>
        <v>0</v>
      </c>
      <c r="O301" s="574">
        <f t="shared" si="36"/>
        <v>0</v>
      </c>
      <c r="P301" s="574">
        <f t="shared" si="36"/>
        <v>0</v>
      </c>
      <c r="Q301" s="574">
        <f t="shared" si="36"/>
        <v>0</v>
      </c>
      <c r="R301" s="575">
        <f t="shared" si="36"/>
        <v>0</v>
      </c>
      <c r="T301" s="577">
        <f>SUM(T302:T322)</f>
        <v>0</v>
      </c>
    </row>
    <row r="302" spans="3:22" ht="18" customHeight="1">
      <c r="C302" s="6">
        <v>1</v>
      </c>
      <c r="D302" s="578" t="s">
        <v>1240</v>
      </c>
      <c r="E302" s="579" t="s">
        <v>1240</v>
      </c>
      <c r="F302" s="580" t="s">
        <v>533</v>
      </c>
      <c r="G302" s="579" t="s">
        <v>1241</v>
      </c>
      <c r="H302" s="581">
        <v>0</v>
      </c>
      <c r="I302" s="581">
        <v>0</v>
      </c>
      <c r="J302" s="581">
        <v>0</v>
      </c>
      <c r="K302" s="582">
        <f t="shared" ref="K302:K322" si="37">SUM(H302:J302)</f>
        <v>0</v>
      </c>
      <c r="M302" s="583">
        <f>SUMIF('CF.2'!$H$5:$H$24,'CF.1'!E302,'CF.2'!$J$5:$J$24)-SUMIF('CF.2'!$K$5:$K$24,'CF.1'!E302,'CF.2'!$M$5:$M$24)</f>
        <v>0</v>
      </c>
      <c r="N302" s="581">
        <f>SUMIF('CF.2'!$H$30:$H$59,'CF.1'!E302,'CF.2'!$J$30:$J$59)+SUMIF('CF.2'!$K$30:$K$59,'CF.1'!E302,'CF.2'!$M$30:$M$59)</f>
        <v>0</v>
      </c>
      <c r="O302" s="581">
        <f>SUMIF('CF.2'!$H$64:$H$98,'CF.1'!E302,'CF.2'!$J$64:$J$98)+SUMIF('CF.2'!$K$64:$K$98,'CF.1'!E302,'CF.2'!$M$64:$M$98)</f>
        <v>0</v>
      </c>
      <c r="P302" s="581">
        <f>SUMIF('CF.2'!$H$102:$H$108,'CF.1'!E302,'CF.2'!$J$102:$J$108)+SUMIF('CF.2'!$K$102:$K$108,'CF.1'!E302,'CF.2'!$M$102:$M$108)</f>
        <v>0</v>
      </c>
      <c r="Q302" s="581">
        <f>SUMIF('CF.2'!$H$113:$H$121,'CF.1'!E302,'CF.2'!$J$113:$J$121)+SUMIF('CF.2'!$K$113:$K$121,'CF.1'!E302,'CF.2'!$M$113:$M$121)</f>
        <v>0</v>
      </c>
      <c r="R302" s="582">
        <f t="shared" ref="R302:R322" si="38">SUM(M302:Q302)</f>
        <v>0</v>
      </c>
      <c r="T302" s="584">
        <f t="shared" ref="T302:T322" si="39">ROUND(R302+K302,0)</f>
        <v>0</v>
      </c>
    </row>
    <row r="303" spans="3:22" ht="18" customHeight="1">
      <c r="C303" s="6">
        <v>1</v>
      </c>
      <c r="D303" s="578" t="s">
        <v>1242</v>
      </c>
      <c r="E303" s="579" t="s">
        <v>1242</v>
      </c>
      <c r="F303" s="580"/>
      <c r="G303" s="579" t="s">
        <v>1243</v>
      </c>
      <c r="H303" s="581">
        <v>0</v>
      </c>
      <c r="I303" s="581">
        <v>0</v>
      </c>
      <c r="J303" s="581">
        <v>0</v>
      </c>
      <c r="K303" s="582">
        <f t="shared" si="37"/>
        <v>0</v>
      </c>
      <c r="M303" s="583">
        <f>SUMIF('CF.2'!$H$5:$H$24,'CF.1'!E303,'CF.2'!$J$5:$J$24)-SUMIF('CF.2'!$K$5:$K$24,'CF.1'!E303,'CF.2'!$M$5:$M$24)</f>
        <v>0</v>
      </c>
      <c r="N303" s="581">
        <f>SUMIF('CF.2'!$H$30:$H$59,'CF.1'!E303,'CF.2'!$J$30:$J$59)+SUMIF('CF.2'!$K$30:$K$59,'CF.1'!E303,'CF.2'!$M$30:$M$59)</f>
        <v>0</v>
      </c>
      <c r="O303" s="581">
        <f>SUMIF('CF.2'!$H$64:$H$98,'CF.1'!E303,'CF.2'!$J$64:$J$98)+SUMIF('CF.2'!$K$64:$K$98,'CF.1'!E303,'CF.2'!$M$64:$M$98)</f>
        <v>0</v>
      </c>
      <c r="P303" s="581">
        <f>SUMIF('CF.2'!$H$102:$H$108,'CF.1'!E303,'CF.2'!$J$102:$J$108)+SUMIF('CF.2'!$K$102:$K$108,'CF.1'!E303,'CF.2'!$M$102:$M$108)</f>
        <v>0</v>
      </c>
      <c r="Q303" s="581">
        <f>SUMIF('CF.2'!$H$113:$H$121,'CF.1'!E303,'CF.2'!$J$113:$J$121)+SUMIF('CF.2'!$K$113:$K$121,'CF.1'!E303,'CF.2'!$M$113:$M$121)</f>
        <v>0</v>
      </c>
      <c r="R303" s="582">
        <f t="shared" si="38"/>
        <v>0</v>
      </c>
      <c r="T303" s="584">
        <f t="shared" si="39"/>
        <v>0</v>
      </c>
    </row>
    <row r="304" spans="3:22" ht="18" customHeight="1">
      <c r="C304" s="6">
        <v>1</v>
      </c>
      <c r="D304" s="578" t="s">
        <v>1244</v>
      </c>
      <c r="E304" s="579" t="s">
        <v>1244</v>
      </c>
      <c r="F304" s="580" t="s">
        <v>1245</v>
      </c>
      <c r="G304" s="579" t="s">
        <v>1245</v>
      </c>
      <c r="H304" s="581">
        <v>0</v>
      </c>
      <c r="I304" s="581">
        <v>0</v>
      </c>
      <c r="J304" s="581">
        <v>0</v>
      </c>
      <c r="K304" s="582">
        <f t="shared" si="37"/>
        <v>0</v>
      </c>
      <c r="M304" s="583">
        <f>SUMIF('CF.2'!$H$5:$H$24,'CF.1'!E304,'CF.2'!$J$5:$J$24)-SUMIF('CF.2'!$K$5:$K$24,'CF.1'!E304,'CF.2'!$M$5:$M$24)</f>
        <v>0</v>
      </c>
      <c r="N304" s="581">
        <f>SUMIF('CF.2'!$H$30:$H$59,'CF.1'!E304,'CF.2'!$J$30:$J$59)+SUMIF('CF.2'!$K$30:$K$59,'CF.1'!E304,'CF.2'!$M$30:$M$59)</f>
        <v>0</v>
      </c>
      <c r="O304" s="581">
        <f>SUMIF('CF.2'!$H$64:$H$98,'CF.1'!E304,'CF.2'!$J$64:$J$98)+SUMIF('CF.2'!$K$64:$K$98,'CF.1'!E304,'CF.2'!$M$64:$M$98)</f>
        <v>0</v>
      </c>
      <c r="P304" s="581">
        <f>SUMIF('CF.2'!$H$102:$H$108,'CF.1'!E304,'CF.2'!$J$102:$J$108)+SUMIF('CF.2'!$K$102:$K$108,'CF.1'!E304,'CF.2'!$M$102:$M$108)</f>
        <v>0</v>
      </c>
      <c r="Q304" s="581">
        <f>SUMIF('CF.2'!$H$113:$H$121,'CF.1'!E304,'CF.2'!$J$113:$J$121)+SUMIF('CF.2'!$K$113:$K$121,'CF.1'!E304,'CF.2'!$M$113:$M$121)</f>
        <v>0</v>
      </c>
      <c r="R304" s="582">
        <f t="shared" si="38"/>
        <v>0</v>
      </c>
      <c r="T304" s="584">
        <f t="shared" si="39"/>
        <v>0</v>
      </c>
      <c r="V304" s="6" t="b">
        <f>T304=0</f>
        <v>1</v>
      </c>
    </row>
    <row r="305" spans="3:20" ht="18" customHeight="1">
      <c r="C305" s="6">
        <v>1</v>
      </c>
      <c r="D305" s="578" t="s">
        <v>1246</v>
      </c>
      <c r="E305" s="579" t="s">
        <v>1246</v>
      </c>
      <c r="F305" s="580"/>
      <c r="G305" s="579" t="s">
        <v>1247</v>
      </c>
      <c r="H305" s="581">
        <v>0</v>
      </c>
      <c r="I305" s="581">
        <v>0</v>
      </c>
      <c r="J305" s="581">
        <v>0</v>
      </c>
      <c r="K305" s="582">
        <f t="shared" si="37"/>
        <v>0</v>
      </c>
      <c r="M305" s="583">
        <f>SUMIF('CF.2'!$H$5:$H$24,'CF.1'!E305,'CF.2'!$J$5:$J$24)-SUMIF('CF.2'!$K$5:$K$24,'CF.1'!E305,'CF.2'!$M$5:$M$24)</f>
        <v>0</v>
      </c>
      <c r="N305" s="581">
        <f>SUMIF('CF.2'!$H$30:$H$59,'CF.1'!E305,'CF.2'!$J$30:$J$59)+SUMIF('CF.2'!$K$30:$K$59,'CF.1'!E305,'CF.2'!$M$30:$M$59)</f>
        <v>0</v>
      </c>
      <c r="O305" s="581">
        <f>SUMIF('CF.2'!$H$64:$H$98,'CF.1'!E305,'CF.2'!$J$64:$J$98)+SUMIF('CF.2'!$K$64:$K$98,'CF.1'!E305,'CF.2'!$M$64:$M$98)</f>
        <v>0</v>
      </c>
      <c r="P305" s="581">
        <f>SUMIF('CF.2'!$H$102:$H$108,'CF.1'!E305,'CF.2'!$J$102:$J$108)+SUMIF('CF.2'!$K$102:$K$108,'CF.1'!E305,'CF.2'!$M$102:$M$108)</f>
        <v>0</v>
      </c>
      <c r="Q305" s="581">
        <f>SUMIF('CF.2'!$H$113:$H$121,'CF.1'!E305,'CF.2'!$J$113:$J$121)+SUMIF('CF.2'!$K$113:$K$121,'CF.1'!E305,'CF.2'!$M$113:$M$121)</f>
        <v>0</v>
      </c>
      <c r="R305" s="582">
        <f t="shared" si="38"/>
        <v>0</v>
      </c>
      <c r="T305" s="584">
        <f t="shared" si="39"/>
        <v>0</v>
      </c>
    </row>
    <row r="306" spans="3:20" ht="18" customHeight="1">
      <c r="C306" s="6">
        <v>1</v>
      </c>
      <c r="D306" s="578" t="s">
        <v>1248</v>
      </c>
      <c r="E306" s="579" t="s">
        <v>1248</v>
      </c>
      <c r="F306" s="580"/>
      <c r="G306" s="579" t="s">
        <v>1249</v>
      </c>
      <c r="H306" s="581">
        <v>0</v>
      </c>
      <c r="I306" s="581">
        <v>0</v>
      </c>
      <c r="J306" s="581">
        <v>0</v>
      </c>
      <c r="K306" s="582">
        <f t="shared" si="37"/>
        <v>0</v>
      </c>
      <c r="M306" s="583">
        <f>SUMIF('CF.2'!$H$5:$H$24,'CF.1'!E306,'CF.2'!$J$5:$J$24)-SUMIF('CF.2'!$K$5:$K$24,'CF.1'!E306,'CF.2'!$M$5:$M$24)</f>
        <v>0</v>
      </c>
      <c r="N306" s="581">
        <f>SUMIF('CF.2'!$H$30:$H$59,'CF.1'!E306,'CF.2'!$J$30:$J$59)+SUMIF('CF.2'!$K$30:$K$59,'CF.1'!E306,'CF.2'!$M$30:$M$59)</f>
        <v>0</v>
      </c>
      <c r="O306" s="581">
        <f>SUMIF('CF.2'!$H$64:$H$98,'CF.1'!E306,'CF.2'!$J$64:$J$98)+SUMIF('CF.2'!$K$64:$K$98,'CF.1'!E306,'CF.2'!$M$64:$M$98)</f>
        <v>0</v>
      </c>
      <c r="P306" s="581">
        <f>SUMIF('CF.2'!$H$102:$H$108,'CF.1'!E306,'CF.2'!$J$102:$J$108)+SUMIF('CF.2'!$K$102:$K$108,'CF.1'!E306,'CF.2'!$M$102:$M$108)</f>
        <v>0</v>
      </c>
      <c r="Q306" s="581">
        <f>SUMIF('CF.2'!$H$113:$H$121,'CF.1'!E306,'CF.2'!$J$113:$J$121)+SUMIF('CF.2'!$K$113:$K$121,'CF.1'!E306,'CF.2'!$M$113:$M$121)</f>
        <v>0</v>
      </c>
      <c r="R306" s="582">
        <f t="shared" si="38"/>
        <v>0</v>
      </c>
      <c r="T306" s="584">
        <f t="shared" si="39"/>
        <v>0</v>
      </c>
    </row>
    <row r="307" spans="3:20" ht="18" customHeight="1">
      <c r="C307" s="6">
        <v>1</v>
      </c>
      <c r="D307" s="578" t="s">
        <v>1250</v>
      </c>
      <c r="E307" s="579" t="s">
        <v>1250</v>
      </c>
      <c r="F307" s="580"/>
      <c r="G307" s="579" t="s">
        <v>1251</v>
      </c>
      <c r="H307" s="581">
        <v>0</v>
      </c>
      <c r="I307" s="581">
        <v>0</v>
      </c>
      <c r="J307" s="581">
        <v>0</v>
      </c>
      <c r="K307" s="582">
        <f t="shared" si="37"/>
        <v>0</v>
      </c>
      <c r="M307" s="583">
        <f>SUMIF('CF.2'!$H$5:$H$24,'CF.1'!E307,'CF.2'!$J$5:$J$24)-SUMIF('CF.2'!$K$5:$K$24,'CF.1'!E307,'CF.2'!$M$5:$M$24)</f>
        <v>0</v>
      </c>
      <c r="N307" s="581">
        <f>SUMIF('CF.2'!$H$30:$H$59,'CF.1'!E307,'CF.2'!$J$30:$J$59)+SUMIF('CF.2'!$K$30:$K$59,'CF.1'!E307,'CF.2'!$M$30:$M$59)</f>
        <v>0</v>
      </c>
      <c r="O307" s="581">
        <f>SUMIF('CF.2'!$H$64:$H$98,'CF.1'!E307,'CF.2'!$J$64:$J$98)+SUMIF('CF.2'!$K$64:$K$98,'CF.1'!E307,'CF.2'!$M$64:$M$98)</f>
        <v>0</v>
      </c>
      <c r="P307" s="581">
        <f>SUMIF('CF.2'!$H$102:$H$108,'CF.1'!E307,'CF.2'!$J$102:$J$108)+SUMIF('CF.2'!$K$102:$K$108,'CF.1'!E307,'CF.2'!$M$102:$M$108)</f>
        <v>0</v>
      </c>
      <c r="Q307" s="581">
        <f>SUMIF('CF.2'!$H$113:$H$121,'CF.1'!E307,'CF.2'!$J$113:$J$121)+SUMIF('CF.2'!$K$113:$K$121,'CF.1'!E307,'CF.2'!$M$113:$M$121)</f>
        <v>0</v>
      </c>
      <c r="R307" s="582">
        <f t="shared" si="38"/>
        <v>0</v>
      </c>
      <c r="T307" s="584">
        <f t="shared" si="39"/>
        <v>0</v>
      </c>
    </row>
    <row r="308" spans="3:20" ht="18" customHeight="1">
      <c r="C308" s="6">
        <v>1</v>
      </c>
      <c r="D308" s="578" t="s">
        <v>1252</v>
      </c>
      <c r="E308" s="579" t="s">
        <v>1252</v>
      </c>
      <c r="F308" s="580"/>
      <c r="G308" s="579" t="s">
        <v>1253</v>
      </c>
      <c r="H308" s="581">
        <v>0</v>
      </c>
      <c r="I308" s="581">
        <v>0</v>
      </c>
      <c r="J308" s="581">
        <v>0</v>
      </c>
      <c r="K308" s="582">
        <f t="shared" si="37"/>
        <v>0</v>
      </c>
      <c r="M308" s="583">
        <f>SUMIF('CF.2'!$H$5:$H$24,'CF.1'!E308,'CF.2'!$J$5:$J$24)-SUMIF('CF.2'!$K$5:$K$24,'CF.1'!E308,'CF.2'!$M$5:$M$24)</f>
        <v>0</v>
      </c>
      <c r="N308" s="581">
        <f>SUMIF('CF.2'!$H$30:$H$59,'CF.1'!E308,'CF.2'!$J$30:$J$59)+SUMIF('CF.2'!$K$30:$K$59,'CF.1'!E308,'CF.2'!$M$30:$M$59)</f>
        <v>0</v>
      </c>
      <c r="O308" s="581">
        <f>SUMIF('CF.2'!$H$64:$H$98,'CF.1'!E308,'CF.2'!$J$64:$J$98)+SUMIF('CF.2'!$K$64:$K$98,'CF.1'!E308,'CF.2'!$M$64:$M$98)</f>
        <v>0</v>
      </c>
      <c r="P308" s="581">
        <f>SUMIF('CF.2'!$H$102:$H$108,'CF.1'!E308,'CF.2'!$J$102:$J$108)+SUMIF('CF.2'!$K$102:$K$108,'CF.1'!E308,'CF.2'!$M$102:$M$108)</f>
        <v>0</v>
      </c>
      <c r="Q308" s="581">
        <f>SUMIF('CF.2'!$H$113:$H$121,'CF.1'!E308,'CF.2'!$J$113:$J$121)+SUMIF('CF.2'!$K$113:$K$121,'CF.1'!E308,'CF.2'!$M$113:$M$121)</f>
        <v>0</v>
      </c>
      <c r="R308" s="582">
        <f t="shared" si="38"/>
        <v>0</v>
      </c>
      <c r="T308" s="584">
        <f t="shared" si="39"/>
        <v>0</v>
      </c>
    </row>
    <row r="309" spans="3:20" ht="18" customHeight="1">
      <c r="C309" s="6">
        <v>1</v>
      </c>
      <c r="D309" s="578" t="s">
        <v>1254</v>
      </c>
      <c r="E309" s="579" t="s">
        <v>1254</v>
      </c>
      <c r="F309" s="580"/>
      <c r="G309" s="579" t="s">
        <v>1255</v>
      </c>
      <c r="H309" s="581">
        <v>0</v>
      </c>
      <c r="I309" s="581">
        <v>0</v>
      </c>
      <c r="J309" s="581">
        <v>0</v>
      </c>
      <c r="K309" s="582">
        <f t="shared" si="37"/>
        <v>0</v>
      </c>
      <c r="M309" s="583">
        <f>SUMIF('CF.2'!$H$5:$H$24,'CF.1'!E309,'CF.2'!$J$5:$J$24)-SUMIF('CF.2'!$K$5:$K$24,'CF.1'!E309,'CF.2'!$M$5:$M$24)</f>
        <v>0</v>
      </c>
      <c r="N309" s="581">
        <f>SUMIF('CF.2'!$H$30:$H$59,'CF.1'!E309,'CF.2'!$J$30:$J$59)+SUMIF('CF.2'!$K$30:$K$59,'CF.1'!E309,'CF.2'!$M$30:$M$59)</f>
        <v>0</v>
      </c>
      <c r="O309" s="581">
        <f>SUMIF('CF.2'!$H$64:$H$98,'CF.1'!E309,'CF.2'!$J$64:$J$98)+SUMIF('CF.2'!$K$64:$K$98,'CF.1'!E309,'CF.2'!$M$64:$M$98)</f>
        <v>0</v>
      </c>
      <c r="P309" s="581">
        <f>SUMIF('CF.2'!$H$102:$H$108,'CF.1'!E309,'CF.2'!$J$102:$J$108)+SUMIF('CF.2'!$K$102:$K$108,'CF.1'!E309,'CF.2'!$M$102:$M$108)</f>
        <v>0</v>
      </c>
      <c r="Q309" s="581">
        <f>SUMIF('CF.2'!$H$113:$H$121,'CF.1'!E309,'CF.2'!$J$113:$J$121)+SUMIF('CF.2'!$K$113:$K$121,'CF.1'!E309,'CF.2'!$M$113:$M$121)</f>
        <v>0</v>
      </c>
      <c r="R309" s="582">
        <f t="shared" si="38"/>
        <v>0</v>
      </c>
      <c r="T309" s="584">
        <f t="shared" si="39"/>
        <v>0</v>
      </c>
    </row>
    <row r="310" spans="3:20" ht="18" customHeight="1">
      <c r="C310" s="6">
        <v>1</v>
      </c>
      <c r="D310" s="578" t="s">
        <v>1256</v>
      </c>
      <c r="E310" s="579" t="s">
        <v>1256</v>
      </c>
      <c r="F310" s="580"/>
      <c r="G310" s="579" t="s">
        <v>1257</v>
      </c>
      <c r="H310" s="581">
        <v>0</v>
      </c>
      <c r="I310" s="581">
        <v>0</v>
      </c>
      <c r="J310" s="581">
        <v>0</v>
      </c>
      <c r="K310" s="582">
        <f t="shared" si="37"/>
        <v>0</v>
      </c>
      <c r="M310" s="583">
        <f>SUMIF('CF.2'!$H$5:$H$24,'CF.1'!E310,'CF.2'!$J$5:$J$24)-SUMIF('CF.2'!$K$5:$K$24,'CF.1'!E310,'CF.2'!$M$5:$M$24)</f>
        <v>0</v>
      </c>
      <c r="N310" s="581">
        <f>SUMIF('CF.2'!$H$30:$H$59,'CF.1'!E310,'CF.2'!$J$30:$J$59)+SUMIF('CF.2'!$K$30:$K$59,'CF.1'!E310,'CF.2'!$M$30:$M$59)</f>
        <v>0</v>
      </c>
      <c r="O310" s="581">
        <f>SUMIF('CF.2'!$H$64:$H$98,'CF.1'!E310,'CF.2'!$J$64:$J$98)+SUMIF('CF.2'!$K$64:$K$98,'CF.1'!E310,'CF.2'!$M$64:$M$98)</f>
        <v>0</v>
      </c>
      <c r="P310" s="581">
        <f>SUMIF('CF.2'!$H$102:$H$108,'CF.1'!E310,'CF.2'!$J$102:$J$108)+SUMIF('CF.2'!$K$102:$K$108,'CF.1'!E310,'CF.2'!$M$102:$M$108)</f>
        <v>0</v>
      </c>
      <c r="Q310" s="581">
        <f>SUMIF('CF.2'!$H$113:$H$121,'CF.1'!E310,'CF.2'!$J$113:$J$121)+SUMIF('CF.2'!$K$113:$K$121,'CF.1'!E310,'CF.2'!$M$113:$M$121)</f>
        <v>0</v>
      </c>
      <c r="R310" s="582">
        <f t="shared" si="38"/>
        <v>0</v>
      </c>
      <c r="T310" s="584">
        <f t="shared" si="39"/>
        <v>0</v>
      </c>
    </row>
    <row r="311" spans="3:20" ht="18" customHeight="1">
      <c r="C311" s="6">
        <v>1</v>
      </c>
      <c r="D311" s="578" t="s">
        <v>1258</v>
      </c>
      <c r="E311" s="579" t="s">
        <v>1258</v>
      </c>
      <c r="F311" s="580"/>
      <c r="G311" s="579" t="s">
        <v>1033</v>
      </c>
      <c r="H311" s="581">
        <v>0</v>
      </c>
      <c r="I311" s="581">
        <v>0</v>
      </c>
      <c r="J311" s="581">
        <v>0</v>
      </c>
      <c r="K311" s="582">
        <f t="shared" si="37"/>
        <v>0</v>
      </c>
      <c r="M311" s="583">
        <f>SUMIF('CF.2'!$H$5:$H$24,'CF.1'!E311,'CF.2'!$J$5:$J$24)-SUMIF('CF.2'!$K$5:$K$24,'CF.1'!E311,'CF.2'!$M$5:$M$24)</f>
        <v>0</v>
      </c>
      <c r="N311" s="581">
        <f>SUMIF('CF.2'!$H$30:$H$59,'CF.1'!E311,'CF.2'!$J$30:$J$59)+SUMIF('CF.2'!$K$30:$K$59,'CF.1'!E311,'CF.2'!$M$30:$M$59)</f>
        <v>0</v>
      </c>
      <c r="O311" s="581">
        <f>SUMIF('CF.2'!$H$64:$H$98,'CF.1'!E311,'CF.2'!$J$64:$J$98)+SUMIF('CF.2'!$K$64:$K$98,'CF.1'!E311,'CF.2'!$M$64:$M$98)</f>
        <v>0</v>
      </c>
      <c r="P311" s="581">
        <f>SUMIF('CF.2'!$H$102:$H$108,'CF.1'!E311,'CF.2'!$J$102:$J$108)+SUMIF('CF.2'!$K$102:$K$108,'CF.1'!E311,'CF.2'!$M$102:$M$108)</f>
        <v>0</v>
      </c>
      <c r="Q311" s="581">
        <f>SUMIF('CF.2'!$H$113:$H$121,'CF.1'!E311,'CF.2'!$J$113:$J$121)+SUMIF('CF.2'!$K$113:$K$121,'CF.1'!E311,'CF.2'!$M$113:$M$121)</f>
        <v>0</v>
      </c>
      <c r="R311" s="582">
        <f t="shared" si="38"/>
        <v>0</v>
      </c>
      <c r="T311" s="584">
        <f t="shared" si="39"/>
        <v>0</v>
      </c>
    </row>
    <row r="312" spans="3:20" ht="18" customHeight="1">
      <c r="C312" s="6">
        <v>1</v>
      </c>
      <c r="D312" s="578" t="s">
        <v>1259</v>
      </c>
      <c r="E312" s="579" t="s">
        <v>1259</v>
      </c>
      <c r="F312" s="580"/>
      <c r="G312" s="579" t="s">
        <v>1035</v>
      </c>
      <c r="H312" s="581">
        <v>0</v>
      </c>
      <c r="I312" s="581">
        <v>0</v>
      </c>
      <c r="J312" s="581">
        <v>0</v>
      </c>
      <c r="K312" s="582">
        <f t="shared" si="37"/>
        <v>0</v>
      </c>
      <c r="M312" s="583">
        <f>SUMIF('CF.2'!$H$5:$H$24,'CF.1'!E312,'CF.2'!$J$5:$J$24)-SUMIF('CF.2'!$K$5:$K$24,'CF.1'!E312,'CF.2'!$M$5:$M$24)</f>
        <v>0</v>
      </c>
      <c r="N312" s="581">
        <f>SUMIF('CF.2'!$H$30:$H$59,'CF.1'!E312,'CF.2'!$J$30:$J$59)+SUMIF('CF.2'!$K$30:$K$59,'CF.1'!E312,'CF.2'!$M$30:$M$59)</f>
        <v>0</v>
      </c>
      <c r="O312" s="581">
        <f>SUMIF('CF.2'!$H$64:$H$98,'CF.1'!E312,'CF.2'!$J$64:$J$98)+SUMIF('CF.2'!$K$64:$K$98,'CF.1'!E312,'CF.2'!$M$64:$M$98)</f>
        <v>0</v>
      </c>
      <c r="P312" s="581">
        <f>SUMIF('CF.2'!$H$102:$H$108,'CF.1'!E312,'CF.2'!$J$102:$J$108)+SUMIF('CF.2'!$K$102:$K$108,'CF.1'!E312,'CF.2'!$M$102:$M$108)</f>
        <v>0</v>
      </c>
      <c r="Q312" s="581">
        <f>SUMIF('CF.2'!$H$113:$H$121,'CF.1'!E312,'CF.2'!$J$113:$J$121)+SUMIF('CF.2'!$K$113:$K$121,'CF.1'!E312,'CF.2'!$M$113:$M$121)</f>
        <v>0</v>
      </c>
      <c r="R312" s="582">
        <f t="shared" si="38"/>
        <v>0</v>
      </c>
      <c r="T312" s="584">
        <f t="shared" si="39"/>
        <v>0</v>
      </c>
    </row>
    <row r="313" spans="3:20" ht="18" customHeight="1">
      <c r="C313" s="6">
        <v>1</v>
      </c>
      <c r="D313" s="578" t="s">
        <v>1260</v>
      </c>
      <c r="E313" s="579" t="s">
        <v>1260</v>
      </c>
      <c r="F313" s="580"/>
      <c r="G313" s="579" t="s">
        <v>1261</v>
      </c>
      <c r="H313" s="581">
        <v>0</v>
      </c>
      <c r="I313" s="581">
        <v>0</v>
      </c>
      <c r="J313" s="581">
        <v>0</v>
      </c>
      <c r="K313" s="582">
        <f t="shared" si="37"/>
        <v>0</v>
      </c>
      <c r="M313" s="583">
        <f>SUMIF('CF.2'!$H$5:$H$24,'CF.1'!E313,'CF.2'!$J$5:$J$24)-SUMIF('CF.2'!$K$5:$K$24,'CF.1'!E313,'CF.2'!$M$5:$M$24)</f>
        <v>0</v>
      </c>
      <c r="N313" s="581">
        <f>SUMIF('CF.2'!$H$30:$H$59,'CF.1'!E313,'CF.2'!$J$30:$J$59)+SUMIF('CF.2'!$K$30:$K$59,'CF.1'!E313,'CF.2'!$M$30:$M$59)</f>
        <v>0</v>
      </c>
      <c r="O313" s="581">
        <f>SUMIF('CF.2'!$H$64:$H$98,'CF.1'!E313,'CF.2'!$J$64:$J$98)+SUMIF('CF.2'!$K$64:$K$98,'CF.1'!E313,'CF.2'!$M$64:$M$98)</f>
        <v>0</v>
      </c>
      <c r="P313" s="581">
        <f>SUMIF('CF.2'!$H$102:$H$108,'CF.1'!E313,'CF.2'!$J$102:$J$108)+SUMIF('CF.2'!$K$102:$K$108,'CF.1'!E313,'CF.2'!$M$102:$M$108)</f>
        <v>0</v>
      </c>
      <c r="Q313" s="581">
        <f>SUMIF('CF.2'!$H$113:$H$121,'CF.1'!E313,'CF.2'!$J$113:$J$121)+SUMIF('CF.2'!$K$113:$K$121,'CF.1'!E313,'CF.2'!$M$113:$M$121)</f>
        <v>0</v>
      </c>
      <c r="R313" s="582">
        <f t="shared" si="38"/>
        <v>0</v>
      </c>
      <c r="T313" s="584">
        <f t="shared" si="39"/>
        <v>0</v>
      </c>
    </row>
    <row r="314" spans="3:20" ht="18" customHeight="1">
      <c r="C314" s="6">
        <v>1</v>
      </c>
      <c r="D314" s="578" t="s">
        <v>1262</v>
      </c>
      <c r="E314" s="579" t="s">
        <v>1262</v>
      </c>
      <c r="F314" s="580"/>
      <c r="G314" s="579" t="s">
        <v>1263</v>
      </c>
      <c r="H314" s="581">
        <v>0</v>
      </c>
      <c r="I314" s="581">
        <v>0</v>
      </c>
      <c r="J314" s="581">
        <v>0</v>
      </c>
      <c r="K314" s="582">
        <f t="shared" si="37"/>
        <v>0</v>
      </c>
      <c r="M314" s="583">
        <f>SUMIF('CF.2'!$H$5:$H$24,'CF.1'!E314,'CF.2'!$J$5:$J$24)-SUMIF('CF.2'!$K$5:$K$24,'CF.1'!E314,'CF.2'!$M$5:$M$24)</f>
        <v>0</v>
      </c>
      <c r="N314" s="581">
        <f>SUMIF('CF.2'!$H$30:$H$59,'CF.1'!E314,'CF.2'!$J$30:$J$59)+SUMIF('CF.2'!$K$30:$K$59,'CF.1'!E314,'CF.2'!$M$30:$M$59)</f>
        <v>0</v>
      </c>
      <c r="O314" s="581">
        <f>SUMIF('CF.2'!$H$64:$H$98,'CF.1'!E314,'CF.2'!$J$64:$J$98)+SUMIF('CF.2'!$K$64:$K$98,'CF.1'!E314,'CF.2'!$M$64:$M$98)</f>
        <v>0</v>
      </c>
      <c r="P314" s="581">
        <f>SUMIF('CF.2'!$H$102:$H$108,'CF.1'!E314,'CF.2'!$J$102:$J$108)+SUMIF('CF.2'!$K$102:$K$108,'CF.1'!E314,'CF.2'!$M$102:$M$108)</f>
        <v>0</v>
      </c>
      <c r="Q314" s="581">
        <f>SUMIF('CF.2'!$H$113:$H$121,'CF.1'!E314,'CF.2'!$J$113:$J$121)+SUMIF('CF.2'!$K$113:$K$121,'CF.1'!E314,'CF.2'!$M$113:$M$121)</f>
        <v>0</v>
      </c>
      <c r="R314" s="582">
        <f t="shared" si="38"/>
        <v>0</v>
      </c>
      <c r="T314" s="584">
        <f t="shared" si="39"/>
        <v>0</v>
      </c>
    </row>
    <row r="315" spans="3:20" ht="18" customHeight="1">
      <c r="C315" s="6">
        <v>1</v>
      </c>
      <c r="D315" s="578" t="s">
        <v>1264</v>
      </c>
      <c r="E315" s="579" t="s">
        <v>1264</v>
      </c>
      <c r="F315" s="580"/>
      <c r="G315" s="579" t="s">
        <v>1265</v>
      </c>
      <c r="H315" s="581">
        <v>0</v>
      </c>
      <c r="I315" s="581">
        <v>0</v>
      </c>
      <c r="J315" s="581">
        <v>0</v>
      </c>
      <c r="K315" s="582">
        <f t="shared" si="37"/>
        <v>0</v>
      </c>
      <c r="M315" s="583">
        <f>SUMIF('CF.2'!$H$5:$H$24,'CF.1'!E315,'CF.2'!$J$5:$J$24)-SUMIF('CF.2'!$K$5:$K$24,'CF.1'!E315,'CF.2'!$M$5:$M$24)</f>
        <v>0</v>
      </c>
      <c r="N315" s="581">
        <f>SUMIF('CF.2'!$H$30:$H$59,'CF.1'!E315,'CF.2'!$J$30:$J$59)+SUMIF('CF.2'!$K$30:$K$59,'CF.1'!E315,'CF.2'!$M$30:$M$59)</f>
        <v>0</v>
      </c>
      <c r="O315" s="581">
        <f>SUMIF('CF.2'!$H$64:$H$98,'CF.1'!E315,'CF.2'!$J$64:$J$98)+SUMIF('CF.2'!$K$64:$K$98,'CF.1'!E315,'CF.2'!$M$64:$M$98)</f>
        <v>0</v>
      </c>
      <c r="P315" s="581">
        <f>SUMIF('CF.2'!$H$102:$H$108,'CF.1'!E315,'CF.2'!$J$102:$J$108)+SUMIF('CF.2'!$K$102:$K$108,'CF.1'!E315,'CF.2'!$M$102:$M$108)</f>
        <v>0</v>
      </c>
      <c r="Q315" s="581">
        <f>SUMIF('CF.2'!$H$113:$H$121,'CF.1'!E315,'CF.2'!$J$113:$J$121)+SUMIF('CF.2'!$K$113:$K$121,'CF.1'!E315,'CF.2'!$M$113:$M$121)</f>
        <v>0</v>
      </c>
      <c r="R315" s="582">
        <f t="shared" si="38"/>
        <v>0</v>
      </c>
      <c r="T315" s="584">
        <f t="shared" si="39"/>
        <v>0</v>
      </c>
    </row>
    <row r="316" spans="3:20" ht="18" customHeight="1">
      <c r="C316" s="6">
        <v>1</v>
      </c>
      <c r="D316" s="578" t="s">
        <v>1266</v>
      </c>
      <c r="E316" s="579" t="s">
        <v>1266</v>
      </c>
      <c r="F316" s="580"/>
      <c r="G316" s="579" t="s">
        <v>1267</v>
      </c>
      <c r="H316" s="581">
        <v>0</v>
      </c>
      <c r="I316" s="581">
        <v>0</v>
      </c>
      <c r="J316" s="581">
        <v>0</v>
      </c>
      <c r="K316" s="582">
        <f t="shared" si="37"/>
        <v>0</v>
      </c>
      <c r="M316" s="583">
        <f>SUMIF('CF.2'!$H$5:$H$24,'CF.1'!E316,'CF.2'!$J$5:$J$24)-SUMIF('CF.2'!$K$5:$K$24,'CF.1'!E316,'CF.2'!$M$5:$M$24)</f>
        <v>0</v>
      </c>
      <c r="N316" s="581">
        <f>SUMIF('CF.2'!$H$30:$H$59,'CF.1'!E316,'CF.2'!$J$30:$J$59)+SUMIF('CF.2'!$K$30:$K$59,'CF.1'!E316,'CF.2'!$M$30:$M$59)</f>
        <v>0</v>
      </c>
      <c r="O316" s="581">
        <f>SUMIF('CF.2'!$H$64:$H$98,'CF.1'!E316,'CF.2'!$J$64:$J$98)+SUMIF('CF.2'!$K$64:$K$98,'CF.1'!E316,'CF.2'!$M$64:$M$98)</f>
        <v>0</v>
      </c>
      <c r="P316" s="581">
        <f>SUMIF('CF.2'!$H$102:$H$108,'CF.1'!E316,'CF.2'!$J$102:$J$108)+SUMIF('CF.2'!$K$102:$K$108,'CF.1'!E316,'CF.2'!$M$102:$M$108)</f>
        <v>0</v>
      </c>
      <c r="Q316" s="581">
        <f>SUMIF('CF.2'!$H$113:$H$121,'CF.1'!E316,'CF.2'!$J$113:$J$121)+SUMIF('CF.2'!$K$113:$K$121,'CF.1'!E316,'CF.2'!$M$113:$M$121)</f>
        <v>0</v>
      </c>
      <c r="R316" s="582">
        <f t="shared" si="38"/>
        <v>0</v>
      </c>
      <c r="T316" s="584">
        <f t="shared" si="39"/>
        <v>0</v>
      </c>
    </row>
    <row r="317" spans="3:20" ht="18" customHeight="1">
      <c r="C317" s="6">
        <v>1</v>
      </c>
      <c r="D317" s="578" t="s">
        <v>1268</v>
      </c>
      <c r="E317" s="579" t="s">
        <v>1268</v>
      </c>
      <c r="F317" s="580"/>
      <c r="G317" s="579" t="s">
        <v>1269</v>
      </c>
      <c r="H317" s="581">
        <v>0</v>
      </c>
      <c r="I317" s="581">
        <v>0</v>
      </c>
      <c r="J317" s="581">
        <v>0</v>
      </c>
      <c r="K317" s="582">
        <f t="shared" si="37"/>
        <v>0</v>
      </c>
      <c r="M317" s="583">
        <f>SUMIF('CF.2'!$H$5:$H$24,'CF.1'!E317,'CF.2'!$J$5:$J$24)-SUMIF('CF.2'!$K$5:$K$24,'CF.1'!E317,'CF.2'!$M$5:$M$24)</f>
        <v>0</v>
      </c>
      <c r="N317" s="581">
        <f>SUMIF('CF.2'!$H$30:$H$59,'CF.1'!E317,'CF.2'!$J$30:$J$59)+SUMIF('CF.2'!$K$30:$K$59,'CF.1'!E317,'CF.2'!$M$30:$M$59)</f>
        <v>0</v>
      </c>
      <c r="O317" s="581">
        <f>SUMIF('CF.2'!$H$64:$H$98,'CF.1'!E317,'CF.2'!$J$64:$J$98)+SUMIF('CF.2'!$K$64:$K$98,'CF.1'!E317,'CF.2'!$M$64:$M$98)</f>
        <v>0</v>
      </c>
      <c r="P317" s="581">
        <f>SUMIF('CF.2'!$H$102:$H$108,'CF.1'!E317,'CF.2'!$J$102:$J$108)+SUMIF('CF.2'!$K$102:$K$108,'CF.1'!E317,'CF.2'!$M$102:$M$108)</f>
        <v>0</v>
      </c>
      <c r="Q317" s="581">
        <f>SUMIF('CF.2'!$H$113:$H$121,'CF.1'!E317,'CF.2'!$J$113:$J$121)+SUMIF('CF.2'!$K$113:$K$121,'CF.1'!E317,'CF.2'!$M$113:$M$121)</f>
        <v>0</v>
      </c>
      <c r="R317" s="582">
        <f t="shared" si="38"/>
        <v>0</v>
      </c>
      <c r="T317" s="584">
        <f t="shared" si="39"/>
        <v>0</v>
      </c>
    </row>
    <row r="318" spans="3:20" ht="18" customHeight="1">
      <c r="C318" s="6">
        <v>1</v>
      </c>
      <c r="D318" s="578" t="s">
        <v>1270</v>
      </c>
      <c r="E318" s="579" t="s">
        <v>1270</v>
      </c>
      <c r="F318" s="580"/>
      <c r="G318" s="579" t="s">
        <v>1271</v>
      </c>
      <c r="H318" s="581">
        <v>0</v>
      </c>
      <c r="I318" s="581">
        <v>0</v>
      </c>
      <c r="J318" s="581">
        <v>0</v>
      </c>
      <c r="K318" s="582">
        <f t="shared" si="37"/>
        <v>0</v>
      </c>
      <c r="M318" s="583">
        <f>SUMIF('CF.2'!$H$5:$H$24,'CF.1'!E318,'CF.2'!$J$5:$J$24)-SUMIF('CF.2'!$K$5:$K$24,'CF.1'!E318,'CF.2'!$M$5:$M$24)</f>
        <v>0</v>
      </c>
      <c r="N318" s="581">
        <f>SUMIF('CF.2'!$H$30:$H$59,'CF.1'!E318,'CF.2'!$J$30:$J$59)+SUMIF('CF.2'!$K$30:$K$59,'CF.1'!E318,'CF.2'!$M$30:$M$59)</f>
        <v>0</v>
      </c>
      <c r="O318" s="581">
        <f>SUMIF('CF.2'!$H$64:$H$98,'CF.1'!E318,'CF.2'!$J$64:$J$98)+SUMIF('CF.2'!$K$64:$K$98,'CF.1'!E318,'CF.2'!$M$64:$M$98)</f>
        <v>0</v>
      </c>
      <c r="P318" s="581">
        <f>SUMIF('CF.2'!$H$102:$H$108,'CF.1'!E318,'CF.2'!$J$102:$J$108)+SUMIF('CF.2'!$K$102:$K$108,'CF.1'!E318,'CF.2'!$M$102:$M$108)</f>
        <v>0</v>
      </c>
      <c r="Q318" s="581">
        <f>SUMIF('CF.2'!$H$113:$H$121,'CF.1'!E318,'CF.2'!$J$113:$J$121)+SUMIF('CF.2'!$K$113:$K$121,'CF.1'!E318,'CF.2'!$M$113:$M$121)</f>
        <v>0</v>
      </c>
      <c r="R318" s="582">
        <f t="shared" si="38"/>
        <v>0</v>
      </c>
      <c r="T318" s="584">
        <f t="shared" si="39"/>
        <v>0</v>
      </c>
    </row>
    <row r="319" spans="3:20" ht="18" customHeight="1">
      <c r="C319" s="6">
        <v>1</v>
      </c>
      <c r="D319" s="578" t="s">
        <v>1272</v>
      </c>
      <c r="E319" s="579" t="s">
        <v>1272</v>
      </c>
      <c r="F319" s="580"/>
      <c r="G319" s="579" t="s">
        <v>1273</v>
      </c>
      <c r="H319" s="581">
        <v>0</v>
      </c>
      <c r="I319" s="581">
        <v>0</v>
      </c>
      <c r="J319" s="581">
        <v>0</v>
      </c>
      <c r="K319" s="582">
        <f t="shared" si="37"/>
        <v>0</v>
      </c>
      <c r="M319" s="583">
        <f>SUMIF('CF.2'!$H$5:$H$24,'CF.1'!E319,'CF.2'!$J$5:$J$24)-SUMIF('CF.2'!$K$5:$K$24,'CF.1'!E319,'CF.2'!$M$5:$M$24)</f>
        <v>0</v>
      </c>
      <c r="N319" s="581">
        <f>SUMIF('CF.2'!$H$30:$H$59,'CF.1'!E319,'CF.2'!$J$30:$J$59)+SUMIF('CF.2'!$K$30:$K$59,'CF.1'!E319,'CF.2'!$M$30:$M$59)</f>
        <v>0</v>
      </c>
      <c r="O319" s="581">
        <f>SUMIF('CF.2'!$H$64:$H$98,'CF.1'!E319,'CF.2'!$J$64:$J$98)+SUMIF('CF.2'!$K$64:$K$98,'CF.1'!E319,'CF.2'!$M$64:$M$98)</f>
        <v>0</v>
      </c>
      <c r="P319" s="581">
        <f>SUMIF('CF.2'!$H$102:$H$108,'CF.1'!E319,'CF.2'!$J$102:$J$108)+SUMIF('CF.2'!$K$102:$K$108,'CF.1'!E319,'CF.2'!$M$102:$M$108)</f>
        <v>0</v>
      </c>
      <c r="Q319" s="581">
        <f>SUMIF('CF.2'!$H$113:$H$121,'CF.1'!E319,'CF.2'!$J$113:$J$121)+SUMIF('CF.2'!$K$113:$K$121,'CF.1'!E319,'CF.2'!$M$113:$M$121)</f>
        <v>0</v>
      </c>
      <c r="R319" s="582">
        <f t="shared" si="38"/>
        <v>0</v>
      </c>
      <c r="T319" s="584">
        <f t="shared" si="39"/>
        <v>0</v>
      </c>
    </row>
    <row r="320" spans="3:20" ht="18" customHeight="1">
      <c r="C320" s="6">
        <v>1</v>
      </c>
      <c r="D320" s="578" t="s">
        <v>1274</v>
      </c>
      <c r="E320" s="579" t="s">
        <v>1274</v>
      </c>
      <c r="F320" s="580"/>
      <c r="G320" s="579" t="s">
        <v>1275</v>
      </c>
      <c r="H320" s="581">
        <v>0</v>
      </c>
      <c r="I320" s="581">
        <v>0</v>
      </c>
      <c r="J320" s="581">
        <v>0</v>
      </c>
      <c r="K320" s="582">
        <f t="shared" si="37"/>
        <v>0</v>
      </c>
      <c r="M320" s="583">
        <f>SUMIF('CF.2'!$H$5:$H$24,'CF.1'!E320,'CF.2'!$J$5:$J$24)-SUMIF('CF.2'!$K$5:$K$24,'CF.1'!E320,'CF.2'!$M$5:$M$24)</f>
        <v>0</v>
      </c>
      <c r="N320" s="581">
        <f>SUMIF('CF.2'!$H$30:$H$59,'CF.1'!E320,'CF.2'!$J$30:$J$59)+SUMIF('CF.2'!$K$30:$K$59,'CF.1'!E320,'CF.2'!$M$30:$M$59)</f>
        <v>0</v>
      </c>
      <c r="O320" s="581">
        <f>SUMIF('CF.2'!$H$64:$H$98,'CF.1'!E320,'CF.2'!$J$64:$J$98)+SUMIF('CF.2'!$K$64:$K$98,'CF.1'!E320,'CF.2'!$M$64:$M$98)</f>
        <v>0</v>
      </c>
      <c r="P320" s="581">
        <f>SUMIF('CF.2'!$H$102:$H$108,'CF.1'!E320,'CF.2'!$J$102:$J$108)+SUMIF('CF.2'!$K$102:$K$108,'CF.1'!E320,'CF.2'!$M$102:$M$108)</f>
        <v>0</v>
      </c>
      <c r="Q320" s="581">
        <f>SUMIF('CF.2'!$H$113:$H$121,'CF.1'!E320,'CF.2'!$J$113:$J$121)+SUMIF('CF.2'!$K$113:$K$121,'CF.1'!E320,'CF.2'!$M$113:$M$121)</f>
        <v>0</v>
      </c>
      <c r="R320" s="582">
        <f t="shared" si="38"/>
        <v>0</v>
      </c>
      <c r="T320" s="584">
        <f t="shared" si="39"/>
        <v>0</v>
      </c>
    </row>
    <row r="321" spans="3:22" ht="18" customHeight="1">
      <c r="C321" s="6">
        <v>1</v>
      </c>
      <c r="D321" s="578" t="s">
        <v>1276</v>
      </c>
      <c r="E321" s="579" t="s">
        <v>1276</v>
      </c>
      <c r="F321" s="580"/>
      <c r="G321" s="579" t="s">
        <v>1277</v>
      </c>
      <c r="H321" s="581">
        <v>0</v>
      </c>
      <c r="I321" s="581">
        <v>0</v>
      </c>
      <c r="J321" s="581">
        <v>0</v>
      </c>
      <c r="K321" s="582">
        <f t="shared" si="37"/>
        <v>0</v>
      </c>
      <c r="M321" s="583">
        <f>SUMIF('CF.2'!$H$5:$H$24,'CF.1'!E321,'CF.2'!$J$5:$J$24)-SUMIF('CF.2'!$K$5:$K$24,'CF.1'!E321,'CF.2'!$M$5:$M$24)</f>
        <v>0</v>
      </c>
      <c r="N321" s="581">
        <f>SUMIF('CF.2'!$H$30:$H$59,'CF.1'!E321,'CF.2'!$J$30:$J$59)+SUMIF('CF.2'!$K$30:$K$59,'CF.1'!E321,'CF.2'!$M$30:$M$59)</f>
        <v>0</v>
      </c>
      <c r="O321" s="581">
        <f>SUMIF('CF.2'!$H$64:$H$98,'CF.1'!E321,'CF.2'!$J$64:$J$98)+SUMIF('CF.2'!$K$64:$K$98,'CF.1'!E321,'CF.2'!$M$64:$M$98)</f>
        <v>0</v>
      </c>
      <c r="P321" s="581">
        <f>SUMIF('CF.2'!$H$102:$H$108,'CF.1'!E321,'CF.2'!$J$102:$J$108)+SUMIF('CF.2'!$K$102:$K$108,'CF.1'!E321,'CF.2'!$M$102:$M$108)</f>
        <v>0</v>
      </c>
      <c r="Q321" s="581">
        <f>SUMIF('CF.2'!$H$113:$H$121,'CF.1'!E321,'CF.2'!$J$113:$J$121)+SUMIF('CF.2'!$K$113:$K$121,'CF.1'!E321,'CF.2'!$M$113:$M$121)</f>
        <v>0</v>
      </c>
      <c r="R321" s="582">
        <f t="shared" si="38"/>
        <v>0</v>
      </c>
      <c r="T321" s="584">
        <f t="shared" si="39"/>
        <v>0</v>
      </c>
    </row>
    <row r="322" spans="3:22" ht="18" customHeight="1">
      <c r="C322" s="6">
        <v>1</v>
      </c>
      <c r="D322" s="578" t="s">
        <v>1278</v>
      </c>
      <c r="E322" s="579" t="s">
        <v>1278</v>
      </c>
      <c r="F322" s="580"/>
      <c r="G322" s="579" t="s">
        <v>1279</v>
      </c>
      <c r="H322" s="581">
        <v>0</v>
      </c>
      <c r="I322" s="581">
        <v>0</v>
      </c>
      <c r="J322" s="581">
        <v>0</v>
      </c>
      <c r="K322" s="582">
        <f t="shared" si="37"/>
        <v>0</v>
      </c>
      <c r="M322" s="583">
        <f>SUMIF('CF.2'!$H$5:$H$24,'CF.1'!E322,'CF.2'!$J$5:$J$24)-SUMIF('CF.2'!$K$5:$K$24,'CF.1'!E322,'CF.2'!$M$5:$M$24)</f>
        <v>0</v>
      </c>
      <c r="N322" s="581">
        <f>SUMIF('CF.2'!$H$30:$H$59,'CF.1'!E322,'CF.2'!$J$30:$J$59)+SUMIF('CF.2'!$K$30:$K$59,'CF.1'!E322,'CF.2'!$M$30:$M$59)</f>
        <v>0</v>
      </c>
      <c r="O322" s="581">
        <f>SUMIF('CF.2'!$H$64:$H$98,'CF.1'!E322,'CF.2'!$J$64:$J$98)+SUMIF('CF.2'!$K$64:$K$98,'CF.1'!E322,'CF.2'!$M$64:$M$98)</f>
        <v>0</v>
      </c>
      <c r="P322" s="581">
        <f>SUMIF('CF.2'!$H$102:$H$108,'CF.1'!E322,'CF.2'!$J$102:$J$108)+SUMIF('CF.2'!$K$102:$K$108,'CF.1'!E322,'CF.2'!$M$102:$M$108)</f>
        <v>0</v>
      </c>
      <c r="Q322" s="581">
        <f>SUMIF('CF.2'!$H$113:$H$121,'CF.1'!E322,'CF.2'!$J$113:$J$121)+SUMIF('CF.2'!$K$113:$K$121,'CF.1'!E322,'CF.2'!$M$113:$M$121)</f>
        <v>0</v>
      </c>
      <c r="R322" s="582">
        <f t="shared" si="38"/>
        <v>0</v>
      </c>
      <c r="T322" s="584">
        <f t="shared" si="39"/>
        <v>0</v>
      </c>
    </row>
    <row r="323" spans="3:22" ht="18" customHeight="1">
      <c r="C323" s="6">
        <v>1</v>
      </c>
      <c r="D323" s="571" t="s">
        <v>1280</v>
      </c>
      <c r="E323" s="572" t="s">
        <v>1280</v>
      </c>
      <c r="F323" s="573"/>
      <c r="G323" s="572" t="s">
        <v>1281</v>
      </c>
      <c r="H323" s="574">
        <f>SUM(H324:H342)</f>
        <v>-2047941235</v>
      </c>
      <c r="I323" s="574">
        <f>SUM(I324:I342)</f>
        <v>-12934791</v>
      </c>
      <c r="J323" s="574">
        <f>SUM(J324:J342)</f>
        <v>-268454125</v>
      </c>
      <c r="K323" s="575">
        <f>SUM(K324:K342)</f>
        <v>-2329330151</v>
      </c>
      <c r="M323" s="576">
        <f t="shared" ref="M323:R323" si="40">SUM(M324:M342)</f>
        <v>0</v>
      </c>
      <c r="N323" s="574">
        <f t="shared" si="40"/>
        <v>0</v>
      </c>
      <c r="O323" s="574">
        <f t="shared" si="40"/>
        <v>0</v>
      </c>
      <c r="P323" s="574">
        <f t="shared" si="40"/>
        <v>0</v>
      </c>
      <c r="Q323" s="574">
        <f t="shared" si="40"/>
        <v>0</v>
      </c>
      <c r="R323" s="575">
        <f t="shared" si="40"/>
        <v>0</v>
      </c>
      <c r="T323" s="577">
        <f>SUM(T324:T342)</f>
        <v>-2329330151</v>
      </c>
    </row>
    <row r="324" spans="3:22" ht="18" customHeight="1">
      <c r="C324" s="6">
        <v>1</v>
      </c>
      <c r="D324" s="578" t="s">
        <v>1282</v>
      </c>
      <c r="E324" s="579" t="s">
        <v>1282</v>
      </c>
      <c r="F324" s="580" t="s">
        <v>1283</v>
      </c>
      <c r="G324" s="579" t="s">
        <v>1283</v>
      </c>
      <c r="H324" s="581">
        <v>0</v>
      </c>
      <c r="I324" s="581">
        <v>0</v>
      </c>
      <c r="J324" s="581">
        <v>0</v>
      </c>
      <c r="K324" s="582">
        <f t="shared" ref="K324:K342" si="41">SUM(H324:J324)</f>
        <v>0</v>
      </c>
      <c r="M324" s="583">
        <f>SUMIF('CF.2'!$H$5:$H$24,'CF.1'!E324,'CF.2'!$J$5:$J$24)-SUMIF('CF.2'!$K$5:$K$24,'CF.1'!E324,'CF.2'!$M$5:$M$24)</f>
        <v>0</v>
      </c>
      <c r="N324" s="581">
        <f>SUMIF('CF.2'!$H$30:$H$59,'CF.1'!E324,'CF.2'!$J$30:$J$59)+SUMIF('CF.2'!$K$30:$K$59,'CF.1'!E324,'CF.2'!$M$30:$M$59)</f>
        <v>0</v>
      </c>
      <c r="O324" s="581">
        <f>SUMIF('CF.2'!$H$64:$H$98,'CF.1'!E324,'CF.2'!$J$64:$J$98)+SUMIF('CF.2'!$K$64:$K$98,'CF.1'!E324,'CF.2'!$M$64:$M$98)</f>
        <v>0</v>
      </c>
      <c r="P324" s="581">
        <f>SUMIF('CF.2'!$H$102:$H$108,'CF.1'!E324,'CF.2'!$J$102:$J$108)+SUMIF('CF.2'!$K$102:$K$108,'CF.1'!E324,'CF.2'!$M$102:$M$108)</f>
        <v>0</v>
      </c>
      <c r="Q324" s="581">
        <f>SUMIF('CF.2'!$H$113:$H$121,'CF.1'!E324,'CF.2'!$J$113:$J$121)+SUMIF('CF.2'!$K$113:$K$121,'CF.1'!E324,'CF.2'!$M$113:$M$121)</f>
        <v>0</v>
      </c>
      <c r="R324" s="582">
        <f t="shared" ref="R324:R342" si="42">SUM(M324:Q324)</f>
        <v>0</v>
      </c>
      <c r="T324" s="584">
        <f t="shared" ref="T324:T342" si="43">ROUND(R324+K324,0)</f>
        <v>0</v>
      </c>
      <c r="V324" s="7" t="b">
        <f>T324-H324=0</f>
        <v>1</v>
      </c>
    </row>
    <row r="325" spans="3:22" ht="18" customHeight="1">
      <c r="C325" s="6">
        <v>1</v>
      </c>
      <c r="D325" s="578" t="s">
        <v>1284</v>
      </c>
      <c r="E325" s="579" t="s">
        <v>1284</v>
      </c>
      <c r="F325" s="580"/>
      <c r="G325" s="579" t="s">
        <v>1285</v>
      </c>
      <c r="H325" s="581">
        <v>0</v>
      </c>
      <c r="I325" s="581">
        <v>0</v>
      </c>
      <c r="J325" s="581">
        <v>0</v>
      </c>
      <c r="K325" s="582">
        <f t="shared" si="41"/>
        <v>0</v>
      </c>
      <c r="M325" s="583">
        <f>SUMIF('CF.2'!$H$5:$H$24,'CF.1'!E325,'CF.2'!$J$5:$J$24)-SUMIF('CF.2'!$K$5:$K$24,'CF.1'!E325,'CF.2'!$M$5:$M$24)</f>
        <v>0</v>
      </c>
      <c r="N325" s="581">
        <f>SUMIF('CF.2'!$H$30:$H$59,'CF.1'!E325,'CF.2'!$J$30:$J$59)+SUMIF('CF.2'!$K$30:$K$59,'CF.1'!E325,'CF.2'!$M$30:$M$59)</f>
        <v>0</v>
      </c>
      <c r="O325" s="581">
        <f>SUMIF('CF.2'!$H$64:$H$98,'CF.1'!E325,'CF.2'!$J$64:$J$98)+SUMIF('CF.2'!$K$64:$K$98,'CF.1'!E325,'CF.2'!$M$64:$M$98)</f>
        <v>0</v>
      </c>
      <c r="P325" s="581">
        <f>SUMIF('CF.2'!$H$102:$H$108,'CF.1'!E325,'CF.2'!$J$102:$J$108)+SUMIF('CF.2'!$K$102:$K$108,'CF.1'!E325,'CF.2'!$M$102:$M$108)</f>
        <v>0</v>
      </c>
      <c r="Q325" s="581">
        <f>SUMIF('CF.2'!$H$113:$H$121,'CF.1'!E325,'CF.2'!$J$113:$J$121)+SUMIF('CF.2'!$K$113:$K$121,'CF.1'!E325,'CF.2'!$M$113:$M$121)</f>
        <v>0</v>
      </c>
      <c r="R325" s="582">
        <f t="shared" si="42"/>
        <v>0</v>
      </c>
      <c r="T325" s="584">
        <f t="shared" si="43"/>
        <v>0</v>
      </c>
    </row>
    <row r="326" spans="3:22" ht="18" customHeight="1">
      <c r="C326" s="6">
        <v>1</v>
      </c>
      <c r="D326" s="578" t="s">
        <v>1286</v>
      </c>
      <c r="E326" s="579" t="s">
        <v>1286</v>
      </c>
      <c r="F326" s="580"/>
      <c r="G326" s="579" t="s">
        <v>1287</v>
      </c>
      <c r="H326" s="581">
        <v>0</v>
      </c>
      <c r="I326" s="581">
        <v>0</v>
      </c>
      <c r="J326" s="581">
        <v>0</v>
      </c>
      <c r="K326" s="582">
        <f t="shared" si="41"/>
        <v>0</v>
      </c>
      <c r="M326" s="583">
        <f>SUMIF('CF.2'!$H$5:$H$24,'CF.1'!E326,'CF.2'!$J$5:$J$24)-SUMIF('CF.2'!$K$5:$K$24,'CF.1'!E326,'CF.2'!$M$5:$M$24)</f>
        <v>0</v>
      </c>
      <c r="N326" s="581">
        <f>SUMIF('CF.2'!$H$30:$H$59,'CF.1'!E326,'CF.2'!$J$30:$J$59)+SUMIF('CF.2'!$K$30:$K$59,'CF.1'!E326,'CF.2'!$M$30:$M$59)</f>
        <v>0</v>
      </c>
      <c r="O326" s="581">
        <f>SUMIF('CF.2'!$H$64:$H$98,'CF.1'!E326,'CF.2'!$J$64:$J$98)+SUMIF('CF.2'!$K$64:$K$98,'CF.1'!E326,'CF.2'!$M$64:$M$98)</f>
        <v>0</v>
      </c>
      <c r="P326" s="581">
        <f>SUMIF('CF.2'!$H$102:$H$108,'CF.1'!E326,'CF.2'!$J$102:$J$108)+SUMIF('CF.2'!$K$102:$K$108,'CF.1'!E326,'CF.2'!$M$102:$M$108)</f>
        <v>0</v>
      </c>
      <c r="Q326" s="581">
        <f>SUMIF('CF.2'!$H$113:$H$121,'CF.1'!E326,'CF.2'!$J$113:$J$121)+SUMIF('CF.2'!$K$113:$K$121,'CF.1'!E326,'CF.2'!$M$113:$M$121)</f>
        <v>0</v>
      </c>
      <c r="R326" s="582">
        <f t="shared" si="42"/>
        <v>0</v>
      </c>
      <c r="T326" s="584">
        <f t="shared" si="43"/>
        <v>0</v>
      </c>
    </row>
    <row r="327" spans="3:22" ht="18" customHeight="1">
      <c r="C327" s="6">
        <v>1</v>
      </c>
      <c r="D327" s="578" t="s">
        <v>1288</v>
      </c>
      <c r="E327" s="579" t="s">
        <v>1288</v>
      </c>
      <c r="F327" s="580"/>
      <c r="G327" s="579" t="s">
        <v>1289</v>
      </c>
      <c r="H327" s="581">
        <v>0</v>
      </c>
      <c r="I327" s="581">
        <v>0</v>
      </c>
      <c r="J327" s="581">
        <v>0</v>
      </c>
      <c r="K327" s="582">
        <f t="shared" si="41"/>
        <v>0</v>
      </c>
      <c r="M327" s="583">
        <f>SUMIF('CF.2'!$H$5:$H$24,'CF.1'!E327,'CF.2'!$J$5:$J$24)-SUMIF('CF.2'!$K$5:$K$24,'CF.1'!E327,'CF.2'!$M$5:$M$24)</f>
        <v>0</v>
      </c>
      <c r="N327" s="581">
        <f>SUMIF('CF.2'!$H$30:$H$59,'CF.1'!E327,'CF.2'!$J$30:$J$59)+SUMIF('CF.2'!$K$30:$K$59,'CF.1'!E327,'CF.2'!$M$30:$M$59)</f>
        <v>0</v>
      </c>
      <c r="O327" s="581">
        <f>SUMIF('CF.2'!$H$64:$H$98,'CF.1'!E327,'CF.2'!$J$64:$J$98)+SUMIF('CF.2'!$K$64:$K$98,'CF.1'!E327,'CF.2'!$M$64:$M$98)</f>
        <v>0</v>
      </c>
      <c r="P327" s="581">
        <f>SUMIF('CF.2'!$H$102:$H$108,'CF.1'!E327,'CF.2'!$J$102:$J$108)+SUMIF('CF.2'!$K$102:$K$108,'CF.1'!E327,'CF.2'!$M$102:$M$108)</f>
        <v>0</v>
      </c>
      <c r="Q327" s="581">
        <f>SUMIF('CF.2'!$H$113:$H$121,'CF.1'!E327,'CF.2'!$J$113:$J$121)+SUMIF('CF.2'!$K$113:$K$121,'CF.1'!E327,'CF.2'!$M$113:$M$121)</f>
        <v>0</v>
      </c>
      <c r="R327" s="582">
        <f t="shared" si="42"/>
        <v>0</v>
      </c>
      <c r="T327" s="584">
        <f t="shared" si="43"/>
        <v>0</v>
      </c>
    </row>
    <row r="328" spans="3:22" ht="18" customHeight="1">
      <c r="C328" s="6">
        <v>1</v>
      </c>
      <c r="D328" s="578" t="s">
        <v>1290</v>
      </c>
      <c r="E328" s="579" t="s">
        <v>1290</v>
      </c>
      <c r="F328" s="580"/>
      <c r="G328" s="579" t="s">
        <v>1291</v>
      </c>
      <c r="H328" s="581">
        <v>0</v>
      </c>
      <c r="I328" s="581">
        <v>0</v>
      </c>
      <c r="J328" s="581">
        <v>0</v>
      </c>
      <c r="K328" s="582">
        <f t="shared" si="41"/>
        <v>0</v>
      </c>
      <c r="M328" s="583">
        <f>SUMIF('CF.2'!$H$5:$H$24,'CF.1'!E328,'CF.2'!$J$5:$J$24)-SUMIF('CF.2'!$K$5:$K$24,'CF.1'!E328,'CF.2'!$M$5:$M$24)</f>
        <v>0</v>
      </c>
      <c r="N328" s="581">
        <f>SUMIF('CF.2'!$H$30:$H$59,'CF.1'!E328,'CF.2'!$J$30:$J$59)+SUMIF('CF.2'!$K$30:$K$59,'CF.1'!E328,'CF.2'!$M$30:$M$59)</f>
        <v>0</v>
      </c>
      <c r="O328" s="581">
        <f>SUMIF('CF.2'!$H$64:$H$98,'CF.1'!E328,'CF.2'!$J$64:$J$98)+SUMIF('CF.2'!$K$64:$K$98,'CF.1'!E328,'CF.2'!$M$64:$M$98)</f>
        <v>0</v>
      </c>
      <c r="P328" s="581">
        <f>SUMIF('CF.2'!$H$102:$H$108,'CF.1'!E328,'CF.2'!$J$102:$J$108)+SUMIF('CF.2'!$K$102:$K$108,'CF.1'!E328,'CF.2'!$M$102:$M$108)</f>
        <v>0</v>
      </c>
      <c r="Q328" s="581">
        <f>SUMIF('CF.2'!$H$113:$H$121,'CF.1'!E328,'CF.2'!$J$113:$J$121)+SUMIF('CF.2'!$K$113:$K$121,'CF.1'!E328,'CF.2'!$M$113:$M$121)</f>
        <v>0</v>
      </c>
      <c r="R328" s="582">
        <f t="shared" si="42"/>
        <v>0</v>
      </c>
      <c r="T328" s="584">
        <f t="shared" si="43"/>
        <v>0</v>
      </c>
    </row>
    <row r="329" spans="3:22" ht="18" customHeight="1">
      <c r="C329" s="6">
        <v>1</v>
      </c>
      <c r="D329" s="578" t="s">
        <v>1292</v>
      </c>
      <c r="E329" s="579" t="s">
        <v>1292</v>
      </c>
      <c r="F329" s="580"/>
      <c r="G329" s="579" t="s">
        <v>1293</v>
      </c>
      <c r="H329" s="581">
        <v>0</v>
      </c>
      <c r="I329" s="581">
        <v>0</v>
      </c>
      <c r="J329" s="581">
        <v>0</v>
      </c>
      <c r="K329" s="582">
        <f t="shared" si="41"/>
        <v>0</v>
      </c>
      <c r="M329" s="583">
        <f>SUMIF('CF.2'!$H$5:$H$24,'CF.1'!E329,'CF.2'!$J$5:$J$24)-SUMIF('CF.2'!$K$5:$K$24,'CF.1'!E329,'CF.2'!$M$5:$M$24)</f>
        <v>0</v>
      </c>
      <c r="N329" s="581">
        <f>SUMIF('CF.2'!$H$30:$H$59,'CF.1'!E329,'CF.2'!$J$30:$J$59)+SUMIF('CF.2'!$K$30:$K$59,'CF.1'!E329,'CF.2'!$M$30:$M$59)</f>
        <v>0</v>
      </c>
      <c r="O329" s="581">
        <f>SUMIF('CF.2'!$H$64:$H$98,'CF.1'!E329,'CF.2'!$J$64:$J$98)+SUMIF('CF.2'!$K$64:$K$98,'CF.1'!E329,'CF.2'!$M$64:$M$98)</f>
        <v>0</v>
      </c>
      <c r="P329" s="581">
        <f>SUMIF('CF.2'!$H$102:$H$108,'CF.1'!E329,'CF.2'!$J$102:$J$108)+SUMIF('CF.2'!$K$102:$K$108,'CF.1'!E329,'CF.2'!$M$102:$M$108)</f>
        <v>0</v>
      </c>
      <c r="Q329" s="581">
        <f>SUMIF('CF.2'!$H$113:$H$121,'CF.1'!E329,'CF.2'!$J$113:$J$121)+SUMIF('CF.2'!$K$113:$K$121,'CF.1'!E329,'CF.2'!$M$113:$M$121)</f>
        <v>0</v>
      </c>
      <c r="R329" s="582">
        <f t="shared" si="42"/>
        <v>0</v>
      </c>
      <c r="T329" s="584">
        <f t="shared" si="43"/>
        <v>0</v>
      </c>
    </row>
    <row r="330" spans="3:22" ht="18" customHeight="1">
      <c r="C330" s="6">
        <v>1</v>
      </c>
      <c r="D330" s="578" t="s">
        <v>1294</v>
      </c>
      <c r="E330" s="579" t="s">
        <v>1294</v>
      </c>
      <c r="F330" s="580"/>
      <c r="G330" s="579" t="s">
        <v>1142</v>
      </c>
      <c r="H330" s="581">
        <v>0</v>
      </c>
      <c r="I330" s="581">
        <v>0</v>
      </c>
      <c r="J330" s="581">
        <v>0</v>
      </c>
      <c r="K330" s="582">
        <f t="shared" si="41"/>
        <v>0</v>
      </c>
      <c r="M330" s="583">
        <f>SUMIF('CF.2'!$H$5:$H$24,'CF.1'!E330,'CF.2'!$J$5:$J$24)-SUMIF('CF.2'!$K$5:$K$24,'CF.1'!E330,'CF.2'!$M$5:$M$24)</f>
        <v>0</v>
      </c>
      <c r="N330" s="581">
        <f>SUMIF('CF.2'!$H$30:$H$59,'CF.1'!E330,'CF.2'!$J$30:$J$59)+SUMIF('CF.2'!$K$30:$K$59,'CF.1'!E330,'CF.2'!$M$30:$M$59)</f>
        <v>0</v>
      </c>
      <c r="O330" s="581">
        <f>SUMIF('CF.2'!$H$64:$H$98,'CF.1'!E330,'CF.2'!$J$64:$J$98)+SUMIF('CF.2'!$K$64:$K$98,'CF.1'!E330,'CF.2'!$M$64:$M$98)</f>
        <v>0</v>
      </c>
      <c r="P330" s="581">
        <f>SUMIF('CF.2'!$H$102:$H$108,'CF.1'!E330,'CF.2'!$J$102:$J$108)+SUMIF('CF.2'!$K$102:$K$108,'CF.1'!E330,'CF.2'!$M$102:$M$108)</f>
        <v>0</v>
      </c>
      <c r="Q330" s="581">
        <f>SUMIF('CF.2'!$H$113:$H$121,'CF.1'!E330,'CF.2'!$J$113:$J$121)+SUMIF('CF.2'!$K$113:$K$121,'CF.1'!E330,'CF.2'!$M$113:$M$121)</f>
        <v>0</v>
      </c>
      <c r="R330" s="582">
        <f t="shared" si="42"/>
        <v>0</v>
      </c>
      <c r="T330" s="584">
        <f t="shared" si="43"/>
        <v>0</v>
      </c>
    </row>
    <row r="331" spans="3:22" ht="18" customHeight="1">
      <c r="C331" s="6">
        <v>1</v>
      </c>
      <c r="D331" s="578" t="s">
        <v>1295</v>
      </c>
      <c r="E331" s="579" t="s">
        <v>1372</v>
      </c>
      <c r="F331" s="580"/>
      <c r="G331" s="579" t="s">
        <v>1374</v>
      </c>
      <c r="H331" s="581">
        <v>0</v>
      </c>
      <c r="I331" s="581">
        <v>0</v>
      </c>
      <c r="J331" s="581">
        <v>0</v>
      </c>
      <c r="K331" s="582">
        <f t="shared" si="41"/>
        <v>0</v>
      </c>
      <c r="M331" s="583">
        <f>SUMIF('CF.2'!$H$5:$H$24,'CF.1'!E331,'CF.2'!$J$5:$J$24)-SUMIF('CF.2'!$K$5:$K$24,'CF.1'!E331,'CF.2'!$M$5:$M$24)</f>
        <v>0</v>
      </c>
      <c r="N331" s="581">
        <f>SUMIF('CF.2'!$H$30:$H$59,'CF.1'!E331,'CF.2'!$J$30:$J$59)+SUMIF('CF.2'!$K$30:$K$59,'CF.1'!E331,'CF.2'!$M$30:$M$59)</f>
        <v>0</v>
      </c>
      <c r="O331" s="581">
        <f>SUMIF('CF.2'!$H$64:$H$98,'CF.1'!E331,'CF.2'!$J$64:$J$98)+SUMIF('CF.2'!$K$64:$K$98,'CF.1'!E331,'CF.2'!$M$64:$M$98)</f>
        <v>0</v>
      </c>
      <c r="P331" s="581">
        <f>SUMIF('CF.2'!$H$102:$H$108,'CF.1'!E331,'CF.2'!$J$102:$J$108)+SUMIF('CF.2'!$K$102:$K$108,'CF.1'!E331,'CF.2'!$M$102:$M$108)</f>
        <v>0</v>
      </c>
      <c r="Q331" s="581">
        <f>SUMIF('CF.2'!$H$113:$H$121,'CF.1'!E331,'CF.2'!$J$113:$J$121)+SUMIF('CF.2'!$K$113:$K$121,'CF.1'!E331,'CF.2'!$M$113:$M$121)</f>
        <v>0</v>
      </c>
      <c r="R331" s="582">
        <f t="shared" si="42"/>
        <v>0</v>
      </c>
      <c r="T331" s="584">
        <f t="shared" si="43"/>
        <v>0</v>
      </c>
    </row>
    <row r="332" spans="3:22" ht="18" customHeight="1">
      <c r="C332" s="6">
        <v>1</v>
      </c>
      <c r="D332" s="578" t="s">
        <v>1295</v>
      </c>
      <c r="E332" s="579" t="s">
        <v>1373</v>
      </c>
      <c r="F332" s="580"/>
      <c r="G332" s="579" t="s">
        <v>1375</v>
      </c>
      <c r="H332" s="581">
        <v>0</v>
      </c>
      <c r="I332" s="581">
        <v>0</v>
      </c>
      <c r="J332" s="581">
        <v>0</v>
      </c>
      <c r="K332" s="582">
        <f t="shared" si="41"/>
        <v>0</v>
      </c>
      <c r="M332" s="583">
        <f>SUMIF('CF.2'!$H$5:$H$24,'CF.1'!E332,'CF.2'!$J$5:$J$24)-SUMIF('CF.2'!$K$5:$K$24,'CF.1'!E332,'CF.2'!$M$5:$M$24)</f>
        <v>0</v>
      </c>
      <c r="N332" s="581">
        <f>SUMIF('CF.2'!$H$30:$H$59,'CF.1'!E332,'CF.2'!$J$30:$J$59)+SUMIF('CF.2'!$K$30:$K$59,'CF.1'!E332,'CF.2'!$M$30:$M$59)</f>
        <v>0</v>
      </c>
      <c r="O332" s="581">
        <f>SUMIF('CF.2'!$H$64:$H$98,'CF.1'!E332,'CF.2'!$J$64:$J$98)+SUMIF('CF.2'!$K$64:$K$98,'CF.1'!E332,'CF.2'!$M$64:$M$98)</f>
        <v>0</v>
      </c>
      <c r="P332" s="581">
        <f>SUMIF('CF.2'!$H$102:$H$108,'CF.1'!E332,'CF.2'!$J$102:$J$108)+SUMIF('CF.2'!$K$102:$K$108,'CF.1'!E332,'CF.2'!$M$102:$M$108)</f>
        <v>0</v>
      </c>
      <c r="Q332" s="581">
        <f>SUMIF('CF.2'!$H$113:$H$121,'CF.1'!E332,'CF.2'!$J$113:$J$121)+SUMIF('CF.2'!$K$113:$K$121,'CF.1'!E332,'CF.2'!$M$113:$M$121)</f>
        <v>0</v>
      </c>
      <c r="R332" s="582">
        <f t="shared" si="42"/>
        <v>0</v>
      </c>
      <c r="T332" s="584">
        <f t="shared" si="43"/>
        <v>0</v>
      </c>
    </row>
    <row r="333" spans="3:22" ht="18" customHeight="1">
      <c r="C333" s="6">
        <v>1</v>
      </c>
      <c r="D333" s="578" t="s">
        <v>1296</v>
      </c>
      <c r="E333" s="579" t="s">
        <v>1296</v>
      </c>
      <c r="F333" s="580"/>
      <c r="G333" s="579" t="s">
        <v>1297</v>
      </c>
      <c r="H333" s="581">
        <v>0</v>
      </c>
      <c r="I333" s="581">
        <v>0</v>
      </c>
      <c r="J333" s="581">
        <v>0</v>
      </c>
      <c r="K333" s="582">
        <f t="shared" si="41"/>
        <v>0</v>
      </c>
      <c r="M333" s="583">
        <f>SUMIF('CF.2'!$H$5:$H$24,'CF.1'!E333,'CF.2'!$J$5:$J$24)-SUMIF('CF.2'!$K$5:$K$24,'CF.1'!E333,'CF.2'!$M$5:$M$24)</f>
        <v>0</v>
      </c>
      <c r="N333" s="581">
        <f>SUMIF('CF.2'!$H$30:$H$59,'CF.1'!E333,'CF.2'!$J$30:$J$59)+SUMIF('CF.2'!$K$30:$K$59,'CF.1'!E333,'CF.2'!$M$30:$M$59)</f>
        <v>0</v>
      </c>
      <c r="O333" s="581">
        <f>SUMIF('CF.2'!$H$64:$H$98,'CF.1'!E333,'CF.2'!$J$64:$J$98)+SUMIF('CF.2'!$K$64:$K$98,'CF.1'!E333,'CF.2'!$M$64:$M$98)</f>
        <v>0</v>
      </c>
      <c r="P333" s="581">
        <f>SUMIF('CF.2'!$H$102:$H$108,'CF.1'!E333,'CF.2'!$J$102:$J$108)+SUMIF('CF.2'!$K$102:$K$108,'CF.1'!E333,'CF.2'!$M$102:$M$108)</f>
        <v>0</v>
      </c>
      <c r="Q333" s="581">
        <f>SUMIF('CF.2'!$H$113:$H$121,'CF.1'!E333,'CF.2'!$J$113:$J$121)+SUMIF('CF.2'!$K$113:$K$121,'CF.1'!E333,'CF.2'!$M$113:$M$121)</f>
        <v>0</v>
      </c>
      <c r="R333" s="582">
        <f t="shared" si="42"/>
        <v>0</v>
      </c>
      <c r="T333" s="584">
        <f t="shared" si="43"/>
        <v>0</v>
      </c>
    </row>
    <row r="334" spans="3:22" ht="18" customHeight="1">
      <c r="C334" s="6">
        <v>1</v>
      </c>
      <c r="D334" s="578" t="s">
        <v>1298</v>
      </c>
      <c r="E334" s="579" t="s">
        <v>1298</v>
      </c>
      <c r="F334" s="580"/>
      <c r="G334" s="579" t="s">
        <v>1299</v>
      </c>
      <c r="H334" s="581">
        <v>0</v>
      </c>
      <c r="I334" s="581">
        <v>0</v>
      </c>
      <c r="J334" s="581">
        <v>0</v>
      </c>
      <c r="K334" s="582">
        <f t="shared" si="41"/>
        <v>0</v>
      </c>
      <c r="M334" s="583">
        <f>SUMIF('CF.2'!$H$5:$H$24,'CF.1'!E334,'CF.2'!$J$5:$J$24)-SUMIF('CF.2'!$K$5:$K$24,'CF.1'!E334,'CF.2'!$M$5:$M$24)</f>
        <v>0</v>
      </c>
      <c r="N334" s="581">
        <f>SUMIF('CF.2'!$H$30:$H$59,'CF.1'!E334,'CF.2'!$J$30:$J$59)+SUMIF('CF.2'!$K$30:$K$59,'CF.1'!E334,'CF.2'!$M$30:$M$59)</f>
        <v>0</v>
      </c>
      <c r="O334" s="581">
        <f>SUMIF('CF.2'!$H$64:$H$98,'CF.1'!E334,'CF.2'!$J$64:$J$98)+SUMIF('CF.2'!$K$64:$K$98,'CF.1'!E334,'CF.2'!$M$64:$M$98)</f>
        <v>0</v>
      </c>
      <c r="P334" s="581">
        <f>SUMIF('CF.2'!$H$102:$H$108,'CF.1'!E334,'CF.2'!$J$102:$J$108)+SUMIF('CF.2'!$K$102:$K$108,'CF.1'!E334,'CF.2'!$M$102:$M$108)</f>
        <v>0</v>
      </c>
      <c r="Q334" s="581">
        <f>SUMIF('CF.2'!$H$113:$H$121,'CF.1'!E334,'CF.2'!$J$113:$J$121)+SUMIF('CF.2'!$K$113:$K$121,'CF.1'!E334,'CF.2'!$M$113:$M$121)</f>
        <v>0</v>
      </c>
      <c r="R334" s="582">
        <f t="shared" si="42"/>
        <v>0</v>
      </c>
      <c r="T334" s="584">
        <f t="shared" si="43"/>
        <v>0</v>
      </c>
    </row>
    <row r="335" spans="3:22" ht="18" customHeight="1">
      <c r="C335" s="6">
        <v>1</v>
      </c>
      <c r="D335" s="578" t="s">
        <v>1300</v>
      </c>
      <c r="E335" s="579" t="s">
        <v>1300</v>
      </c>
      <c r="F335" s="580"/>
      <c r="G335" s="579" t="s">
        <v>1301</v>
      </c>
      <c r="H335" s="581">
        <v>0</v>
      </c>
      <c r="I335" s="581">
        <v>0</v>
      </c>
      <c r="J335" s="581">
        <v>0</v>
      </c>
      <c r="K335" s="582">
        <f t="shared" si="41"/>
        <v>0</v>
      </c>
      <c r="M335" s="583">
        <f>SUMIF('CF.2'!$H$5:$H$24,'CF.1'!E335,'CF.2'!$J$5:$J$24)-SUMIF('CF.2'!$K$5:$K$24,'CF.1'!E335,'CF.2'!$M$5:$M$24)</f>
        <v>0</v>
      </c>
      <c r="N335" s="581">
        <f>SUMIF('CF.2'!$H$30:$H$59,'CF.1'!E335,'CF.2'!$J$30:$J$59)+SUMIF('CF.2'!$K$30:$K$59,'CF.1'!E335,'CF.2'!$M$30:$M$59)</f>
        <v>0</v>
      </c>
      <c r="O335" s="581">
        <f>SUMIF('CF.2'!$H$64:$H$98,'CF.1'!E335,'CF.2'!$J$64:$J$98)+SUMIF('CF.2'!$K$64:$K$98,'CF.1'!E335,'CF.2'!$M$64:$M$98)</f>
        <v>0</v>
      </c>
      <c r="P335" s="581">
        <f>SUMIF('CF.2'!$H$102:$H$108,'CF.1'!E335,'CF.2'!$J$102:$J$108)+SUMIF('CF.2'!$K$102:$K$108,'CF.1'!E335,'CF.2'!$M$102:$M$108)</f>
        <v>0</v>
      </c>
      <c r="Q335" s="581">
        <f>SUMIF('CF.2'!$H$113:$H$121,'CF.1'!E335,'CF.2'!$J$113:$J$121)+SUMIF('CF.2'!$K$113:$K$121,'CF.1'!E335,'CF.2'!$M$113:$M$121)</f>
        <v>0</v>
      </c>
      <c r="R335" s="582">
        <f t="shared" si="42"/>
        <v>0</v>
      </c>
      <c r="T335" s="584">
        <f t="shared" si="43"/>
        <v>0</v>
      </c>
    </row>
    <row r="336" spans="3:22" ht="18" customHeight="1">
      <c r="C336" s="6">
        <v>1</v>
      </c>
      <c r="D336" s="578" t="s">
        <v>1302</v>
      </c>
      <c r="E336" s="579" t="s">
        <v>1302</v>
      </c>
      <c r="F336" s="580"/>
      <c r="G336" s="579" t="s">
        <v>1303</v>
      </c>
      <c r="H336" s="581">
        <v>0</v>
      </c>
      <c r="I336" s="581">
        <v>0</v>
      </c>
      <c r="J336" s="581">
        <v>0</v>
      </c>
      <c r="K336" s="582">
        <f t="shared" si="41"/>
        <v>0</v>
      </c>
      <c r="M336" s="583">
        <f>SUMIF('CF.2'!$H$5:$H$24,'CF.1'!E336,'CF.2'!$J$5:$J$24)-SUMIF('CF.2'!$K$5:$K$24,'CF.1'!E336,'CF.2'!$M$5:$M$24)</f>
        <v>0</v>
      </c>
      <c r="N336" s="581">
        <f>SUMIF('CF.2'!$H$30:$H$59,'CF.1'!E336,'CF.2'!$J$30:$J$59)+SUMIF('CF.2'!$K$30:$K$59,'CF.1'!E336,'CF.2'!$M$30:$M$59)</f>
        <v>0</v>
      </c>
      <c r="O336" s="581">
        <f>SUMIF('CF.2'!$H$64:$H$98,'CF.1'!E336,'CF.2'!$J$64:$J$98)+SUMIF('CF.2'!$K$64:$K$98,'CF.1'!E336,'CF.2'!$M$64:$M$98)</f>
        <v>0</v>
      </c>
      <c r="P336" s="581">
        <f>SUMIF('CF.2'!$H$102:$H$108,'CF.1'!E336,'CF.2'!$J$102:$J$108)+SUMIF('CF.2'!$K$102:$K$108,'CF.1'!E336,'CF.2'!$M$102:$M$108)</f>
        <v>0</v>
      </c>
      <c r="Q336" s="581">
        <f>SUMIF('CF.2'!$H$113:$H$121,'CF.1'!E336,'CF.2'!$J$113:$J$121)+SUMIF('CF.2'!$K$113:$K$121,'CF.1'!E336,'CF.2'!$M$113:$M$121)</f>
        <v>0</v>
      </c>
      <c r="R336" s="582">
        <f t="shared" si="42"/>
        <v>0</v>
      </c>
      <c r="T336" s="584">
        <f t="shared" si="43"/>
        <v>0</v>
      </c>
    </row>
    <row r="337" spans="3:22" ht="18" customHeight="1">
      <c r="C337" s="6">
        <v>1</v>
      </c>
      <c r="D337" s="578" t="s">
        <v>1304</v>
      </c>
      <c r="E337" s="579" t="s">
        <v>1304</v>
      </c>
      <c r="F337" s="580"/>
      <c r="G337" s="579" t="s">
        <v>1305</v>
      </c>
      <c r="H337" s="581">
        <v>0</v>
      </c>
      <c r="I337" s="581">
        <v>0</v>
      </c>
      <c r="J337" s="581">
        <v>0</v>
      </c>
      <c r="K337" s="582">
        <f t="shared" si="41"/>
        <v>0</v>
      </c>
      <c r="M337" s="583">
        <f>SUMIF('CF.2'!$H$5:$H$24,'CF.1'!E337,'CF.2'!$J$5:$J$24)-SUMIF('CF.2'!$K$5:$K$24,'CF.1'!E337,'CF.2'!$M$5:$M$24)</f>
        <v>0</v>
      </c>
      <c r="N337" s="581">
        <f>SUMIF('CF.2'!$H$30:$H$59,'CF.1'!E337,'CF.2'!$J$30:$J$59)+SUMIF('CF.2'!$K$30:$K$59,'CF.1'!E337,'CF.2'!$M$30:$M$59)</f>
        <v>0</v>
      </c>
      <c r="O337" s="581">
        <f>SUMIF('CF.2'!$H$64:$H$98,'CF.1'!E337,'CF.2'!$J$64:$J$98)+SUMIF('CF.2'!$K$64:$K$98,'CF.1'!E337,'CF.2'!$M$64:$M$98)</f>
        <v>0</v>
      </c>
      <c r="P337" s="581">
        <f>SUMIF('CF.2'!$H$102:$H$108,'CF.1'!E337,'CF.2'!$J$102:$J$108)+SUMIF('CF.2'!$K$102:$K$108,'CF.1'!E337,'CF.2'!$M$102:$M$108)</f>
        <v>0</v>
      </c>
      <c r="Q337" s="581">
        <f>SUMIF('CF.2'!$H$113:$H$121,'CF.1'!E337,'CF.2'!$J$113:$J$121)+SUMIF('CF.2'!$K$113:$K$121,'CF.1'!E337,'CF.2'!$M$113:$M$121)</f>
        <v>0</v>
      </c>
      <c r="R337" s="582">
        <f t="shared" si="42"/>
        <v>0</v>
      </c>
      <c r="T337" s="584">
        <f t="shared" si="43"/>
        <v>0</v>
      </c>
    </row>
    <row r="338" spans="3:22" ht="18" customHeight="1">
      <c r="C338" s="6">
        <v>1</v>
      </c>
      <c r="D338" s="578" t="s">
        <v>1306</v>
      </c>
      <c r="E338" s="579" t="s">
        <v>1306</v>
      </c>
      <c r="F338" s="580"/>
      <c r="G338" s="579" t="s">
        <v>1307</v>
      </c>
      <c r="H338" s="581">
        <v>0</v>
      </c>
      <c r="I338" s="581">
        <v>0</v>
      </c>
      <c r="J338" s="581">
        <v>0</v>
      </c>
      <c r="K338" s="582">
        <f t="shared" si="41"/>
        <v>0</v>
      </c>
      <c r="M338" s="583">
        <f>SUMIF('CF.2'!$H$5:$H$24,'CF.1'!E338,'CF.2'!$J$5:$J$24)-SUMIF('CF.2'!$K$5:$K$24,'CF.1'!E338,'CF.2'!$M$5:$M$24)</f>
        <v>0</v>
      </c>
      <c r="N338" s="581">
        <f>SUMIF('CF.2'!$H$30:$H$59,'CF.1'!E338,'CF.2'!$J$30:$J$59)+SUMIF('CF.2'!$K$30:$K$59,'CF.1'!E338,'CF.2'!$M$30:$M$59)</f>
        <v>0</v>
      </c>
      <c r="O338" s="581">
        <f>SUMIF('CF.2'!$H$64:$H$98,'CF.1'!E338,'CF.2'!$J$64:$J$98)+SUMIF('CF.2'!$K$64:$K$98,'CF.1'!E338,'CF.2'!$M$64:$M$98)</f>
        <v>0</v>
      </c>
      <c r="P338" s="581">
        <f>SUMIF('CF.2'!$H$102:$H$108,'CF.1'!E338,'CF.2'!$J$102:$J$108)+SUMIF('CF.2'!$K$102:$K$108,'CF.1'!E338,'CF.2'!$M$102:$M$108)</f>
        <v>0</v>
      </c>
      <c r="Q338" s="581">
        <f>SUMIF('CF.2'!$H$113:$H$121,'CF.1'!E338,'CF.2'!$J$113:$J$121)+SUMIF('CF.2'!$K$113:$K$121,'CF.1'!E338,'CF.2'!$M$113:$M$121)</f>
        <v>0</v>
      </c>
      <c r="R338" s="582">
        <f t="shared" si="42"/>
        <v>0</v>
      </c>
      <c r="T338" s="584">
        <f t="shared" si="43"/>
        <v>0</v>
      </c>
    </row>
    <row r="339" spans="3:22" ht="18" customHeight="1">
      <c r="C339" s="6">
        <v>1</v>
      </c>
      <c r="D339" s="578" t="s">
        <v>1308</v>
      </c>
      <c r="E339" s="579" t="s">
        <v>1308</v>
      </c>
      <c r="F339" s="580" t="s">
        <v>1786</v>
      </c>
      <c r="G339" s="579" t="s">
        <v>1309</v>
      </c>
      <c r="H339" s="581">
        <v>-2047941235</v>
      </c>
      <c r="I339" s="581">
        <v>-12934791</v>
      </c>
      <c r="J339" s="581">
        <v>-268454125</v>
      </c>
      <c r="K339" s="582">
        <f t="shared" si="41"/>
        <v>-2329330151</v>
      </c>
      <c r="M339" s="583">
        <f>SUMIF('CF.2'!$H$5:$H$24,'CF.1'!E339,'CF.2'!$J$5:$J$24)-SUMIF('CF.2'!$K$5:$K$24,'CF.1'!E339,'CF.2'!$M$5:$M$24)</f>
        <v>0</v>
      </c>
      <c r="N339" s="581">
        <f>SUMIF('CF.2'!$H$30:$H$59,'CF.1'!E339,'CF.2'!$J$30:$J$59)+SUMIF('CF.2'!$K$30:$K$59,'CF.1'!E339,'CF.2'!$M$30:$M$59)</f>
        <v>0</v>
      </c>
      <c r="O339" s="581">
        <f>SUMIF('CF.2'!$H$64:$H$98,'CF.1'!E339,'CF.2'!$J$64:$J$98)+SUMIF('CF.2'!$K$64:$K$98,'CF.1'!E339,'CF.2'!$M$64:$M$98)</f>
        <v>0</v>
      </c>
      <c r="P339" s="581">
        <f>SUMIF('CF.2'!$H$102:$H$108,'CF.1'!E339,'CF.2'!$J$102:$J$108)+SUMIF('CF.2'!$K$102:$K$108,'CF.1'!E339,'CF.2'!$M$102:$M$108)</f>
        <v>0</v>
      </c>
      <c r="Q339" s="581">
        <f>SUMIF('CF.2'!$H$113:$H$121,'CF.1'!E339,'CF.2'!$J$113:$J$121)+SUMIF('CF.2'!$K$113:$K$121,'CF.1'!E339,'CF.2'!$M$113:$M$121)</f>
        <v>0</v>
      </c>
      <c r="R339" s="582">
        <f t="shared" si="42"/>
        <v>0</v>
      </c>
      <c r="T339" s="584">
        <f t="shared" si="43"/>
        <v>-2329330151</v>
      </c>
    </row>
    <row r="340" spans="3:22" ht="18" customHeight="1">
      <c r="C340" s="6">
        <v>1</v>
      </c>
      <c r="D340" s="578" t="s">
        <v>1310</v>
      </c>
      <c r="E340" s="579" t="s">
        <v>1310</v>
      </c>
      <c r="F340" s="580"/>
      <c r="G340" s="579" t="s">
        <v>1311</v>
      </c>
      <c r="H340" s="581">
        <v>0</v>
      </c>
      <c r="I340" s="581">
        <v>0</v>
      </c>
      <c r="J340" s="581">
        <v>0</v>
      </c>
      <c r="K340" s="582">
        <f t="shared" si="41"/>
        <v>0</v>
      </c>
      <c r="M340" s="583">
        <f>SUMIF('CF.2'!$H$5:$H$24,'CF.1'!E340,'CF.2'!$J$5:$J$24)-SUMIF('CF.2'!$K$5:$K$24,'CF.1'!E340,'CF.2'!$M$5:$M$24)</f>
        <v>0</v>
      </c>
      <c r="N340" s="581">
        <f>SUMIF('CF.2'!$H$30:$H$59,'CF.1'!E340,'CF.2'!$J$30:$J$59)+SUMIF('CF.2'!$K$30:$K$59,'CF.1'!E340,'CF.2'!$M$30:$M$59)</f>
        <v>0</v>
      </c>
      <c r="O340" s="581">
        <f>SUMIF('CF.2'!$H$64:$H$98,'CF.1'!E340,'CF.2'!$J$64:$J$98)+SUMIF('CF.2'!$K$64:$K$98,'CF.1'!E340,'CF.2'!$M$64:$M$98)</f>
        <v>0</v>
      </c>
      <c r="P340" s="581">
        <f>SUMIF('CF.2'!$H$102:$H$108,'CF.1'!E340,'CF.2'!$J$102:$J$108)+SUMIF('CF.2'!$K$102:$K$108,'CF.1'!E340,'CF.2'!$M$102:$M$108)</f>
        <v>0</v>
      </c>
      <c r="Q340" s="581">
        <f>SUMIF('CF.2'!$H$113:$H$121,'CF.1'!E340,'CF.2'!$J$113:$J$121)+SUMIF('CF.2'!$K$113:$K$121,'CF.1'!E340,'CF.2'!$M$113:$M$121)</f>
        <v>0</v>
      </c>
      <c r="R340" s="582">
        <f t="shared" si="42"/>
        <v>0</v>
      </c>
      <c r="T340" s="584">
        <f t="shared" si="43"/>
        <v>0</v>
      </c>
    </row>
    <row r="341" spans="3:22" ht="18" customHeight="1">
      <c r="C341" s="6">
        <v>1</v>
      </c>
      <c r="D341" s="578" t="s">
        <v>1312</v>
      </c>
      <c r="E341" s="579" t="s">
        <v>1312</v>
      </c>
      <c r="F341" s="580"/>
      <c r="G341" s="579" t="s">
        <v>1313</v>
      </c>
      <c r="H341" s="581">
        <v>0</v>
      </c>
      <c r="I341" s="581">
        <v>0</v>
      </c>
      <c r="J341" s="581">
        <v>0</v>
      </c>
      <c r="K341" s="582">
        <f t="shared" si="41"/>
        <v>0</v>
      </c>
      <c r="M341" s="583">
        <f>SUMIF('CF.2'!$H$5:$H$24,'CF.1'!E341,'CF.2'!$J$5:$J$24)-SUMIF('CF.2'!$K$5:$K$24,'CF.1'!E341,'CF.2'!$M$5:$M$24)</f>
        <v>0</v>
      </c>
      <c r="N341" s="581">
        <f>SUMIF('CF.2'!$H$30:$H$59,'CF.1'!E341,'CF.2'!$J$30:$J$59)+SUMIF('CF.2'!$K$30:$K$59,'CF.1'!E341,'CF.2'!$M$30:$M$59)</f>
        <v>0</v>
      </c>
      <c r="O341" s="581">
        <f>SUMIF('CF.2'!$H$64:$H$98,'CF.1'!E341,'CF.2'!$J$64:$J$98)+SUMIF('CF.2'!$K$64:$K$98,'CF.1'!E341,'CF.2'!$M$64:$M$98)</f>
        <v>0</v>
      </c>
      <c r="P341" s="581">
        <f>SUMIF('CF.2'!$H$102:$H$108,'CF.1'!E341,'CF.2'!$J$102:$J$108)+SUMIF('CF.2'!$K$102:$K$108,'CF.1'!E341,'CF.2'!$M$102:$M$108)</f>
        <v>0</v>
      </c>
      <c r="Q341" s="581">
        <f>SUMIF('CF.2'!$H$113:$H$121,'CF.1'!E341,'CF.2'!$J$113:$J$121)+SUMIF('CF.2'!$K$113:$K$121,'CF.1'!E341,'CF.2'!$M$113:$M$121)</f>
        <v>0</v>
      </c>
      <c r="R341" s="582">
        <f t="shared" si="42"/>
        <v>0</v>
      </c>
      <c r="T341" s="584">
        <f t="shared" si="43"/>
        <v>0</v>
      </c>
    </row>
    <row r="342" spans="3:22" ht="18" customHeight="1">
      <c r="C342" s="6">
        <v>1</v>
      </c>
      <c r="D342" s="578" t="s">
        <v>1314</v>
      </c>
      <c r="E342" s="579" t="s">
        <v>1314</v>
      </c>
      <c r="F342" s="580" t="s">
        <v>1315</v>
      </c>
      <c r="G342" s="579" t="s">
        <v>1315</v>
      </c>
      <c r="H342" s="581">
        <v>0</v>
      </c>
      <c r="I342" s="581">
        <v>0</v>
      </c>
      <c r="J342" s="581">
        <v>0</v>
      </c>
      <c r="K342" s="582">
        <f t="shared" si="41"/>
        <v>0</v>
      </c>
      <c r="M342" s="583">
        <f>SUMIF('CF.2'!$H$5:$H$24,'CF.1'!E342,'CF.2'!$J$5:$J$24)-SUMIF('CF.2'!$K$5:$K$24,'CF.1'!E342,'CF.2'!$M$5:$M$24)</f>
        <v>0</v>
      </c>
      <c r="N342" s="581">
        <f>SUMIF('CF.2'!$H$30:$H$59,'CF.1'!E342,'CF.2'!$J$30:$J$59)+SUMIF('CF.2'!$K$30:$K$59,'CF.1'!E342,'CF.2'!$M$30:$M$59)</f>
        <v>0</v>
      </c>
      <c r="O342" s="581">
        <f>SUMIF('CF.2'!$H$64:$H$98,'CF.1'!E342,'CF.2'!$J$64:$J$98)+SUMIF('CF.2'!$K$64:$K$98,'CF.1'!E342,'CF.2'!$M$64:$M$98)</f>
        <v>0</v>
      </c>
      <c r="P342" s="581">
        <f>SUMIF('CF.2'!$H$102:$H$108,'CF.1'!E342,'CF.2'!$J$102:$J$108)+SUMIF('CF.2'!$K$102:$K$108,'CF.1'!E342,'CF.2'!$M$102:$M$108)</f>
        <v>0</v>
      </c>
      <c r="Q342" s="581">
        <f>SUMIF('CF.2'!$H$113:$H$121,'CF.1'!E342,'CF.2'!$J$113:$J$121)+SUMIF('CF.2'!$K$113:$K$121,'CF.1'!E342,'CF.2'!$M$113:$M$121)</f>
        <v>0</v>
      </c>
      <c r="R342" s="582">
        <f t="shared" si="42"/>
        <v>0</v>
      </c>
      <c r="T342" s="584">
        <f t="shared" si="43"/>
        <v>0</v>
      </c>
      <c r="V342" s="47" t="s">
        <v>1778</v>
      </c>
    </row>
    <row r="343" spans="3:22" ht="18" customHeight="1">
      <c r="C343" s="6">
        <v>1</v>
      </c>
      <c r="D343" s="571" t="s">
        <v>1316</v>
      </c>
      <c r="E343" s="572" t="s">
        <v>1316</v>
      </c>
      <c r="F343" s="573"/>
      <c r="G343" s="572" t="s">
        <v>1317</v>
      </c>
      <c r="H343" s="574">
        <f t="shared" ref="H343:K344" si="44">H344</f>
        <v>-2059465826</v>
      </c>
      <c r="I343" s="574">
        <f t="shared" si="44"/>
        <v>-722986</v>
      </c>
      <c r="J343" s="574">
        <f t="shared" si="44"/>
        <v>6991545</v>
      </c>
      <c r="K343" s="575">
        <f t="shared" si="44"/>
        <v>-2053197267</v>
      </c>
      <c r="M343" s="576">
        <f t="shared" ref="M343:T344" si="45">M344</f>
        <v>0</v>
      </c>
      <c r="N343" s="574">
        <f t="shared" si="45"/>
        <v>0</v>
      </c>
      <c r="O343" s="574">
        <f t="shared" si="45"/>
        <v>0</v>
      </c>
      <c r="P343" s="574">
        <f t="shared" si="45"/>
        <v>0</v>
      </c>
      <c r="Q343" s="574">
        <f t="shared" si="45"/>
        <v>0</v>
      </c>
      <c r="R343" s="575">
        <f t="shared" si="45"/>
        <v>0</v>
      </c>
      <c r="T343" s="577">
        <f t="shared" si="45"/>
        <v>-2053197267</v>
      </c>
    </row>
    <row r="344" spans="3:22" ht="18" customHeight="1">
      <c r="C344" s="6">
        <v>1</v>
      </c>
      <c r="D344" s="571" t="s">
        <v>1318</v>
      </c>
      <c r="E344" s="572" t="s">
        <v>1318</v>
      </c>
      <c r="F344" s="573"/>
      <c r="G344" s="572" t="s">
        <v>1317</v>
      </c>
      <c r="H344" s="574">
        <f t="shared" si="44"/>
        <v>-2059465826</v>
      </c>
      <c r="I344" s="574">
        <f t="shared" si="44"/>
        <v>-722986</v>
      </c>
      <c r="J344" s="574">
        <f t="shared" si="44"/>
        <v>6991545</v>
      </c>
      <c r="K344" s="575">
        <f t="shared" si="44"/>
        <v>-2053197267</v>
      </c>
      <c r="M344" s="576">
        <f t="shared" si="45"/>
        <v>0</v>
      </c>
      <c r="N344" s="574">
        <f t="shared" si="45"/>
        <v>0</v>
      </c>
      <c r="O344" s="574">
        <f t="shared" si="45"/>
        <v>0</v>
      </c>
      <c r="P344" s="574">
        <f t="shared" si="45"/>
        <v>0</v>
      </c>
      <c r="Q344" s="574">
        <f t="shared" si="45"/>
        <v>0</v>
      </c>
      <c r="R344" s="575">
        <f t="shared" si="45"/>
        <v>0</v>
      </c>
      <c r="T344" s="577">
        <f t="shared" si="45"/>
        <v>-2053197267</v>
      </c>
    </row>
    <row r="345" spans="3:22" ht="18" customHeight="1">
      <c r="C345" s="6">
        <v>1</v>
      </c>
      <c r="D345" s="578" t="s">
        <v>1319</v>
      </c>
      <c r="E345" s="579" t="s">
        <v>1319</v>
      </c>
      <c r="F345" s="580"/>
      <c r="G345" s="579" t="s">
        <v>1320</v>
      </c>
      <c r="H345" s="581">
        <v>-2059465826</v>
      </c>
      <c r="I345" s="581">
        <v>-722986</v>
      </c>
      <c r="J345" s="581">
        <v>6991545</v>
      </c>
      <c r="K345" s="582">
        <f>SUM(H345:J345)</f>
        <v>-2053197267</v>
      </c>
      <c r="M345" s="583">
        <f>SUMIF('CF.2'!$H$5:$H$24,'CF.1'!E345,'CF.2'!$J$5:$J$24)-SUMIF('CF.2'!$K$5:$K$24,'CF.1'!E345,'CF.2'!$M$5:$M$24)</f>
        <v>0</v>
      </c>
      <c r="N345" s="581">
        <f>SUMIF('CF.2'!$H$30:$H$59,'CF.1'!E345,'CF.2'!$J$30:$J$59)+SUMIF('CF.2'!$K$30:$K$59,'CF.1'!E345,'CF.2'!$M$30:$M$59)</f>
        <v>0</v>
      </c>
      <c r="O345" s="581">
        <f>SUMIF('CF.2'!$H$64:$H$98,'CF.1'!E345,'CF.2'!$J$64:$J$98)+SUMIF('CF.2'!$K$64:$K$98,'CF.1'!E345,'CF.2'!$M$64:$M$98)</f>
        <v>0</v>
      </c>
      <c r="P345" s="581">
        <f>SUMIF('CF.2'!$H$102:$H$108,'CF.1'!E345,'CF.2'!$J$102:$J$108)+SUMIF('CF.2'!$K$102:$K$108,'CF.1'!E345,'CF.2'!$M$102:$M$108)</f>
        <v>0</v>
      </c>
      <c r="Q345" s="581">
        <f>SUMIF('CF.2'!$H$113:$H$121,'CF.1'!E345,'CF.2'!$J$113:$J$121)+SUMIF('CF.2'!$K$113:$K$121,'CF.1'!E345,'CF.2'!$M$113:$M$121)</f>
        <v>0</v>
      </c>
      <c r="R345" s="582">
        <f>SUM(M345:Q345)</f>
        <v>0</v>
      </c>
      <c r="T345" s="584">
        <f>ROUND(R345+K345,0)</f>
        <v>-2053197267</v>
      </c>
    </row>
    <row r="346" spans="3:22" ht="18" customHeight="1">
      <c r="C346" s="6">
        <v>1</v>
      </c>
      <c r="D346" s="571" t="s">
        <v>1321</v>
      </c>
      <c r="E346" s="572" t="s">
        <v>1321</v>
      </c>
      <c r="F346" s="573"/>
      <c r="G346" s="572" t="s">
        <v>1322</v>
      </c>
      <c r="H346" s="574">
        <f t="shared" ref="H346:K347" si="46">H347</f>
        <v>0</v>
      </c>
      <c r="I346" s="574">
        <f t="shared" si="46"/>
        <v>0</v>
      </c>
      <c r="J346" s="574">
        <f t="shared" si="46"/>
        <v>0</v>
      </c>
      <c r="K346" s="575">
        <f t="shared" si="46"/>
        <v>0</v>
      </c>
      <c r="M346" s="576">
        <f t="shared" ref="M346:T347" si="47">M347</f>
        <v>0</v>
      </c>
      <c r="N346" s="574">
        <f t="shared" si="47"/>
        <v>0</v>
      </c>
      <c r="O346" s="574">
        <f t="shared" si="47"/>
        <v>0</v>
      </c>
      <c r="P346" s="574">
        <f t="shared" si="47"/>
        <v>0</v>
      </c>
      <c r="Q346" s="574">
        <f t="shared" si="47"/>
        <v>0</v>
      </c>
      <c r="R346" s="575">
        <f t="shared" si="47"/>
        <v>0</v>
      </c>
      <c r="T346" s="577">
        <f t="shared" si="47"/>
        <v>0</v>
      </c>
    </row>
    <row r="347" spans="3:22" ht="18" customHeight="1">
      <c r="C347" s="6">
        <v>1</v>
      </c>
      <c r="D347" s="571" t="s">
        <v>1323</v>
      </c>
      <c r="E347" s="572" t="s">
        <v>1323</v>
      </c>
      <c r="F347" s="573"/>
      <c r="G347" s="572" t="s">
        <v>1322</v>
      </c>
      <c r="H347" s="574">
        <f t="shared" si="46"/>
        <v>0</v>
      </c>
      <c r="I347" s="574">
        <f t="shared" si="46"/>
        <v>0</v>
      </c>
      <c r="J347" s="574">
        <f t="shared" si="46"/>
        <v>0</v>
      </c>
      <c r="K347" s="575">
        <f t="shared" si="46"/>
        <v>0</v>
      </c>
      <c r="M347" s="576">
        <f t="shared" si="47"/>
        <v>0</v>
      </c>
      <c r="N347" s="574">
        <f t="shared" si="47"/>
        <v>0</v>
      </c>
      <c r="O347" s="574">
        <f t="shared" si="47"/>
        <v>0</v>
      </c>
      <c r="P347" s="574">
        <f t="shared" si="47"/>
        <v>0</v>
      </c>
      <c r="Q347" s="574">
        <f t="shared" si="47"/>
        <v>0</v>
      </c>
      <c r="R347" s="575">
        <f t="shared" si="47"/>
        <v>0</v>
      </c>
      <c r="T347" s="577">
        <f t="shared" si="47"/>
        <v>0</v>
      </c>
    </row>
    <row r="348" spans="3:22" ht="18" customHeight="1">
      <c r="C348" s="6">
        <v>1</v>
      </c>
      <c r="D348" s="578" t="s">
        <v>1324</v>
      </c>
      <c r="E348" s="579" t="s">
        <v>1324</v>
      </c>
      <c r="F348" s="580"/>
      <c r="G348" s="579" t="s">
        <v>1325</v>
      </c>
      <c r="H348" s="581">
        <v>0</v>
      </c>
      <c r="I348" s="581">
        <v>0</v>
      </c>
      <c r="J348" s="581">
        <v>0</v>
      </c>
      <c r="K348" s="582">
        <f>SUM(H348:J348)</f>
        <v>0</v>
      </c>
      <c r="M348" s="583">
        <f>SUMIF('CF.2'!$H$5:$H$24,'CF.1'!E348,'CF.2'!$J$5:$J$24)-SUMIF('CF.2'!$K$5:$K$24,'CF.1'!E348,'CF.2'!$M$5:$M$24)</f>
        <v>0</v>
      </c>
      <c r="N348" s="581">
        <f>SUMIF('CF.2'!$H$30:$H$59,'CF.1'!E348,'CF.2'!$J$30:$J$59)+SUMIF('CF.2'!$K$30:$K$59,'CF.1'!E348,'CF.2'!$M$30:$M$59)</f>
        <v>0</v>
      </c>
      <c r="O348" s="581">
        <f>SUMIF('CF.2'!$H$64:$H$98,'CF.1'!E348,'CF.2'!$J$64:$J$98)+SUMIF('CF.2'!$K$64:$K$98,'CF.1'!E348,'CF.2'!$M$64:$M$98)</f>
        <v>0</v>
      </c>
      <c r="P348" s="581">
        <f>SUMIF('CF.2'!$H$102:$H$108,'CF.1'!E348,'CF.2'!$J$102:$J$108)+SUMIF('CF.2'!$K$102:$K$108,'CF.1'!E348,'CF.2'!$M$102:$M$108)</f>
        <v>0</v>
      </c>
      <c r="Q348" s="581">
        <f>SUMIF('CF.2'!$H$113:$H$121,'CF.1'!E348,'CF.2'!$J$113:$J$121)+SUMIF('CF.2'!$K$113:$K$121,'CF.1'!E348,'CF.2'!$M$113:$M$121)</f>
        <v>0</v>
      </c>
      <c r="R348" s="582">
        <f>SUM(M348:Q348)</f>
        <v>0</v>
      </c>
      <c r="T348" s="591">
        <f>ROUND(R348+K348,0)</f>
        <v>0</v>
      </c>
    </row>
    <row r="349" spans="3:22" ht="18" customHeight="1">
      <c r="C349" s="6">
        <v>1</v>
      </c>
      <c r="D349" s="571" t="s">
        <v>1326</v>
      </c>
      <c r="E349" s="572" t="s">
        <v>1326</v>
      </c>
      <c r="F349" s="573"/>
      <c r="G349" s="572" t="s">
        <v>1327</v>
      </c>
      <c r="H349" s="574">
        <f>SUM(H346,H343,H300,H181,H7)</f>
        <v>9460340404</v>
      </c>
      <c r="I349" s="574">
        <f>SUM(I346,I343,I300,I181,I7)</f>
        <v>-9314252</v>
      </c>
      <c r="J349" s="574">
        <f>SUM(J346,J343,J300,J181,J7)</f>
        <v>-1081211696</v>
      </c>
      <c r="K349" s="575">
        <f>SUM(K346,K343,K300,K181,K7)</f>
        <v>8369814456</v>
      </c>
      <c r="M349" s="576">
        <f t="shared" ref="M349:R349" si="48">SUM(M346,M343,M300,M181,M7)</f>
        <v>0</v>
      </c>
      <c r="N349" s="574">
        <f>SUM(N346,N343,N300,N181,N7)</f>
        <v>0</v>
      </c>
      <c r="O349" s="574">
        <f t="shared" si="48"/>
        <v>0</v>
      </c>
      <c r="P349" s="574">
        <f t="shared" si="48"/>
        <v>0</v>
      </c>
      <c r="Q349" s="574">
        <f t="shared" si="48"/>
        <v>0</v>
      </c>
      <c r="R349" s="575">
        <f t="shared" si="48"/>
        <v>0</v>
      </c>
      <c r="T349" s="577">
        <f>SUM(T346,T343,T300,T181,T7)</f>
        <v>8369814456</v>
      </c>
    </row>
    <row r="350" spans="3:22" ht="18" customHeight="1">
      <c r="C350" s="6">
        <v>1</v>
      </c>
      <c r="D350" s="571" t="s">
        <v>1328</v>
      </c>
      <c r="E350" s="572" t="s">
        <v>1328</v>
      </c>
      <c r="F350" s="573"/>
      <c r="G350" s="572" t="s">
        <v>1329</v>
      </c>
      <c r="H350" s="574">
        <f t="shared" ref="H350:K351" si="49">H351</f>
        <v>83906422015</v>
      </c>
      <c r="I350" s="574">
        <f>I351</f>
        <v>24842904</v>
      </c>
      <c r="J350" s="574">
        <f t="shared" si="49"/>
        <v>4970127757</v>
      </c>
      <c r="K350" s="575">
        <f t="shared" si="49"/>
        <v>88901392676</v>
      </c>
      <c r="M350" s="576">
        <f t="shared" ref="M350:T351" si="50">M351</f>
        <v>0</v>
      </c>
      <c r="N350" s="574">
        <f t="shared" si="50"/>
        <v>0</v>
      </c>
      <c r="O350" s="574">
        <f t="shared" si="50"/>
        <v>0</v>
      </c>
      <c r="P350" s="574">
        <f t="shared" si="50"/>
        <v>0</v>
      </c>
      <c r="Q350" s="574">
        <f t="shared" si="50"/>
        <v>0</v>
      </c>
      <c r="R350" s="575">
        <f t="shared" si="50"/>
        <v>0</v>
      </c>
      <c r="T350" s="577">
        <f t="shared" si="50"/>
        <v>88901392676</v>
      </c>
    </row>
    <row r="351" spans="3:22" ht="18" customHeight="1">
      <c r="C351" s="6">
        <v>1</v>
      </c>
      <c r="D351" s="571" t="s">
        <v>1330</v>
      </c>
      <c r="E351" s="572" t="s">
        <v>1330</v>
      </c>
      <c r="F351" s="573"/>
      <c r="G351" s="572" t="s">
        <v>1329</v>
      </c>
      <c r="H351" s="574">
        <f t="shared" si="49"/>
        <v>83906422015</v>
      </c>
      <c r="I351" s="574">
        <f t="shared" si="49"/>
        <v>24842904</v>
      </c>
      <c r="J351" s="574">
        <f t="shared" si="49"/>
        <v>4970127757</v>
      </c>
      <c r="K351" s="575">
        <f t="shared" si="49"/>
        <v>88901392676</v>
      </c>
      <c r="M351" s="576">
        <f t="shared" si="50"/>
        <v>0</v>
      </c>
      <c r="N351" s="574">
        <f t="shared" si="50"/>
        <v>0</v>
      </c>
      <c r="O351" s="574">
        <f t="shared" si="50"/>
        <v>0</v>
      </c>
      <c r="P351" s="574">
        <f t="shared" si="50"/>
        <v>0</v>
      </c>
      <c r="Q351" s="574">
        <f t="shared" si="50"/>
        <v>0</v>
      </c>
      <c r="R351" s="575">
        <f t="shared" si="50"/>
        <v>0</v>
      </c>
      <c r="T351" s="577">
        <f t="shared" si="50"/>
        <v>88901392676</v>
      </c>
    </row>
    <row r="352" spans="3:22" ht="18" customHeight="1">
      <c r="C352" s="6">
        <v>1</v>
      </c>
      <c r="D352" s="578" t="s">
        <v>1331</v>
      </c>
      <c r="E352" s="579" t="s">
        <v>1331</v>
      </c>
      <c r="F352" s="580"/>
      <c r="G352" s="579" t="s">
        <v>1332</v>
      </c>
      <c r="H352" s="581">
        <v>83906422015</v>
      </c>
      <c r="I352" s="581">
        <v>24842904</v>
      </c>
      <c r="J352" s="581">
        <v>4970127757</v>
      </c>
      <c r="K352" s="582">
        <f>SUM(H352:J352)</f>
        <v>88901392676</v>
      </c>
      <c r="M352" s="583">
        <f>SUMIF('CF.2'!$H$5:$H$24,'CF.1'!E352,'CF.2'!$J$5:$J$24)-SUMIF('CF.2'!$K$5:$K$24,'CF.1'!E352,'CF.2'!$M$5:$M$24)</f>
        <v>0</v>
      </c>
      <c r="N352" s="581">
        <f>SUMIF('CF.2'!$H$30:$H$59,'CF.1'!E352,'CF.2'!$J$30:$J$59)+SUMIF('CF.2'!$K$30:$K$59,'CF.1'!E352,'CF.2'!$M$30:$M$59)</f>
        <v>0</v>
      </c>
      <c r="O352" s="581">
        <f>SUMIF('CF.2'!$H$64:$H$98,'CF.1'!E352,'CF.2'!$J$64:$J$98)+SUMIF('CF.2'!$K$64:$K$98,'CF.1'!E352,'CF.2'!$M$64:$M$98)</f>
        <v>0</v>
      </c>
      <c r="P352" s="581">
        <f>SUMIF('CF.2'!$H$102:$H$108,'CF.1'!E352,'CF.2'!$J$102:$J$108)+SUMIF('CF.2'!$K$102:$K$108,'CF.1'!E352,'CF.2'!$M$102:$M$108)</f>
        <v>0</v>
      </c>
      <c r="Q352" s="581">
        <f>SUMIF('CF.2'!$H$113:$H$121,'CF.1'!E352,'CF.2'!$J$113:$J$121)+SUMIF('CF.2'!$K$113:$K$121,'CF.1'!E352,'CF.2'!$M$113:$M$121)</f>
        <v>0</v>
      </c>
      <c r="R352" s="582">
        <f>SUM(M352:Q352)</f>
        <v>0</v>
      </c>
      <c r="T352" s="591">
        <f>R352+K352</f>
        <v>88901392676</v>
      </c>
      <c r="V352" s="6" t="b">
        <f>'BS(공)'!I7=T352</f>
        <v>1</v>
      </c>
    </row>
    <row r="353" spans="3:22" ht="18" customHeight="1">
      <c r="C353" s="6">
        <v>1</v>
      </c>
      <c r="D353" s="571" t="s">
        <v>1333</v>
      </c>
      <c r="E353" s="572" t="s">
        <v>1333</v>
      </c>
      <c r="F353" s="573"/>
      <c r="G353" s="572" t="s">
        <v>1334</v>
      </c>
      <c r="H353" s="574">
        <f t="shared" ref="H353:K354" si="51">H354</f>
        <v>93366762419</v>
      </c>
      <c r="I353" s="574">
        <f t="shared" si="51"/>
        <v>15528652</v>
      </c>
      <c r="J353" s="574">
        <f t="shared" si="51"/>
        <v>3888916061</v>
      </c>
      <c r="K353" s="575">
        <f t="shared" si="51"/>
        <v>97271207132</v>
      </c>
      <c r="M353" s="576">
        <f t="shared" ref="M353:T354" si="52">M354</f>
        <v>0</v>
      </c>
      <c r="N353" s="574">
        <f t="shared" si="52"/>
        <v>0</v>
      </c>
      <c r="O353" s="574">
        <f t="shared" si="52"/>
        <v>0</v>
      </c>
      <c r="P353" s="574">
        <f t="shared" si="52"/>
        <v>0</v>
      </c>
      <c r="Q353" s="574">
        <f t="shared" si="52"/>
        <v>0</v>
      </c>
      <c r="R353" s="575">
        <f t="shared" si="52"/>
        <v>0</v>
      </c>
      <c r="T353" s="577">
        <f t="shared" si="52"/>
        <v>97271207132</v>
      </c>
    </row>
    <row r="354" spans="3:22" ht="18" customHeight="1">
      <c r="C354" s="6">
        <v>1</v>
      </c>
      <c r="D354" s="571" t="s">
        <v>1335</v>
      </c>
      <c r="E354" s="572" t="s">
        <v>1335</v>
      </c>
      <c r="F354" s="573"/>
      <c r="G354" s="572" t="s">
        <v>1334</v>
      </c>
      <c r="H354" s="574">
        <f t="shared" si="51"/>
        <v>93366762419</v>
      </c>
      <c r="I354" s="574">
        <f t="shared" si="51"/>
        <v>15528652</v>
      </c>
      <c r="J354" s="574">
        <f t="shared" si="51"/>
        <v>3888916061</v>
      </c>
      <c r="K354" s="575">
        <f t="shared" si="51"/>
        <v>97271207132</v>
      </c>
      <c r="M354" s="576">
        <f t="shared" si="52"/>
        <v>0</v>
      </c>
      <c r="N354" s="574">
        <f t="shared" si="52"/>
        <v>0</v>
      </c>
      <c r="O354" s="574">
        <f t="shared" si="52"/>
        <v>0</v>
      </c>
      <c r="P354" s="574">
        <f t="shared" si="52"/>
        <v>0</v>
      </c>
      <c r="Q354" s="574">
        <f t="shared" si="52"/>
        <v>0</v>
      </c>
      <c r="R354" s="575">
        <f t="shared" si="52"/>
        <v>0</v>
      </c>
      <c r="T354" s="577">
        <f t="shared" si="52"/>
        <v>97271207132</v>
      </c>
    </row>
    <row r="355" spans="3:22" ht="18" customHeight="1">
      <c r="C355" s="6">
        <v>1</v>
      </c>
      <c r="D355" s="578" t="s">
        <v>1336</v>
      </c>
      <c r="E355" s="579" t="s">
        <v>1336</v>
      </c>
      <c r="F355" s="580"/>
      <c r="G355" s="579" t="s">
        <v>1337</v>
      </c>
      <c r="H355" s="581">
        <f>T_BS!H9</f>
        <v>93366762419</v>
      </c>
      <c r="I355" s="581">
        <v>15528652</v>
      </c>
      <c r="J355" s="581">
        <v>3888916061</v>
      </c>
      <c r="K355" s="582">
        <f>SUM(H355:J355)</f>
        <v>97271207132</v>
      </c>
      <c r="M355" s="583">
        <f>SUMIF('CF.2'!$H$5:$H$24,'CF.1'!E355,'CF.2'!$J$5:$J$24)-SUMIF('CF.2'!$K$5:$K$24,'CF.1'!E355,'CF.2'!$M$5:$M$24)</f>
        <v>0</v>
      </c>
      <c r="N355" s="581">
        <f>SUMIF('CF.2'!$H$30:$H$59,'CF.1'!E355,'CF.2'!$J$30:$J$59)+SUMIF('CF.2'!$K$30:$K$59,'CF.1'!E355,'CF.2'!$M$30:$M$59)</f>
        <v>0</v>
      </c>
      <c r="O355" s="581">
        <f>SUMIF('CF.2'!$H$64:$H$98,'CF.1'!E355,'CF.2'!$J$64:$J$98)+SUMIF('CF.2'!$K$64:$K$98,'CF.1'!E355,'CF.2'!$M$64:$M$98)</f>
        <v>0</v>
      </c>
      <c r="P355" s="581">
        <f>SUMIF('CF.2'!$H$102:$H$108,'CF.1'!E355,'CF.2'!$J$102:$J$108)+SUMIF('CF.2'!$K$102:$K$108,'CF.1'!E355,'CF.2'!$M$102:$M$108)</f>
        <v>0</v>
      </c>
      <c r="Q355" s="581">
        <f>SUMIF('CF.2'!$H$113:$H$121,'CF.1'!E355,'CF.2'!$J$113:$J$121)+SUMIF('CF.2'!$K$113:$K$121,'CF.1'!E355,'CF.2'!$M$113:$M$121)</f>
        <v>0</v>
      </c>
      <c r="R355" s="582">
        <f>SUM(M355:Q355)</f>
        <v>0</v>
      </c>
      <c r="T355" s="591">
        <f>R355+K355</f>
        <v>97271207132</v>
      </c>
      <c r="V355" s="7" t="b">
        <f>T_BS!W9-T355=0</f>
        <v>1</v>
      </c>
    </row>
    <row r="356" spans="3:22" ht="18" customHeight="1">
      <c r="C356" s="6">
        <v>1</v>
      </c>
      <c r="D356" s="571" t="s">
        <v>1338</v>
      </c>
      <c r="E356" s="572" t="s">
        <v>1338</v>
      </c>
      <c r="F356" s="573"/>
      <c r="G356" s="572" t="s">
        <v>1339</v>
      </c>
      <c r="H356" s="574"/>
      <c r="I356" s="574"/>
      <c r="J356" s="574"/>
      <c r="K356" s="575"/>
      <c r="M356" s="576"/>
      <c r="N356" s="574"/>
      <c r="O356" s="574"/>
      <c r="P356" s="574"/>
      <c r="Q356" s="574"/>
      <c r="R356" s="575"/>
      <c r="T356" s="577"/>
    </row>
    <row r="357" spans="3:22" ht="18" customHeight="1">
      <c r="C357" s="6">
        <v>1</v>
      </c>
      <c r="D357" s="571" t="s">
        <v>1340</v>
      </c>
      <c r="E357" s="572" t="s">
        <v>1340</v>
      </c>
      <c r="F357" s="573"/>
      <c r="G357" s="572" t="s">
        <v>1339</v>
      </c>
      <c r="H357" s="574"/>
      <c r="I357" s="574"/>
      <c r="J357" s="574"/>
      <c r="K357" s="575"/>
      <c r="M357" s="576"/>
      <c r="N357" s="574"/>
      <c r="O357" s="574"/>
      <c r="P357" s="574"/>
      <c r="Q357" s="574"/>
      <c r="R357" s="575"/>
      <c r="T357" s="577"/>
    </row>
    <row r="358" spans="3:22" ht="18" customHeight="1" thickBot="1">
      <c r="C358" s="6">
        <v>1</v>
      </c>
      <c r="D358" s="592" t="s">
        <v>1341</v>
      </c>
      <c r="E358" s="593" t="s">
        <v>1341</v>
      </c>
      <c r="F358" s="594"/>
      <c r="G358" s="593" t="s">
        <v>1342</v>
      </c>
      <c r="H358" s="595"/>
      <c r="I358" s="595"/>
      <c r="J358" s="595"/>
      <c r="K358" s="596"/>
      <c r="L358" s="18"/>
      <c r="M358" s="597"/>
      <c r="N358" s="598"/>
      <c r="O358" s="598">
        <f>SUMIF('CF.2'!$H$64:$H$98,'CF.1'!E358,'CF.2'!$J$64:$J$98)+SUMIF('CF.2'!$K$64:$K$98,'CF.1'!E358,'CF.2'!$M$64:$M$98)</f>
        <v>0</v>
      </c>
      <c r="P358" s="598">
        <f>SUMIF('CF.2'!$H$102:$H$108,'CF.1'!E358,'CF.2'!$J$102:$J$108)+SUMIF('CF.2'!$K$102:$K$108,'CF.1'!E358,'CF.2'!$M$102:$M$108)</f>
        <v>0</v>
      </c>
      <c r="Q358" s="598">
        <f>SUMIF('CF.2'!$H$113:$H$121,'CF.1'!E358,'CF.2'!$J$113:$J$121)+SUMIF('CF.2'!$K$113:$K$121,'CF.1'!E358,'CF.2'!$M$113:$M$121)</f>
        <v>0</v>
      </c>
      <c r="R358" s="599">
        <f>SUM(M358:Q358)</f>
        <v>0</v>
      </c>
      <c r="T358" s="600">
        <f>R358+K358</f>
        <v>0</v>
      </c>
    </row>
    <row r="359" spans="3:22" ht="18" customHeight="1" thickBot="1"/>
    <row r="360" spans="3:22" ht="18" customHeight="1">
      <c r="D360" s="313"/>
      <c r="E360" s="314"/>
      <c r="F360" s="601"/>
      <c r="G360" s="314" t="s">
        <v>1389</v>
      </c>
      <c r="H360" s="602">
        <f>H7</f>
        <v>16034243935</v>
      </c>
      <c r="I360" s="602">
        <f>I7</f>
        <v>6301153</v>
      </c>
      <c r="J360" s="602">
        <f>J7</f>
        <v>-817325686</v>
      </c>
      <c r="K360" s="602">
        <f>K7</f>
        <v>15223219402</v>
      </c>
      <c r="L360" s="602">
        <f t="shared" ref="L360:T360" si="53">L7</f>
        <v>0</v>
      </c>
      <c r="M360" s="602">
        <f t="shared" si="53"/>
        <v>0</v>
      </c>
      <c r="N360" s="602">
        <f t="shared" si="53"/>
        <v>0</v>
      </c>
      <c r="O360" s="602">
        <f t="shared" si="53"/>
        <v>0</v>
      </c>
      <c r="P360" s="602">
        <f t="shared" si="53"/>
        <v>0</v>
      </c>
      <c r="Q360" s="602">
        <f t="shared" si="53"/>
        <v>0</v>
      </c>
      <c r="R360" s="602">
        <f t="shared" si="53"/>
        <v>0</v>
      </c>
      <c r="S360" s="602">
        <f t="shared" si="53"/>
        <v>0</v>
      </c>
      <c r="T360" s="603">
        <f t="shared" si="53"/>
        <v>15223219402</v>
      </c>
    </row>
    <row r="361" spans="3:22" ht="18" customHeight="1">
      <c r="D361" s="315"/>
      <c r="G361" s="6" t="s">
        <v>1390</v>
      </c>
      <c r="H361" s="565">
        <f>H181</f>
        <v>-2466496470</v>
      </c>
      <c r="I361" s="565">
        <f>I181</f>
        <v>-1957628</v>
      </c>
      <c r="J361" s="565">
        <f>J181</f>
        <v>-2423430</v>
      </c>
      <c r="K361" s="565">
        <f>K181</f>
        <v>-2470877528</v>
      </c>
      <c r="L361" s="565">
        <f t="shared" ref="L361:T361" si="54">L181</f>
        <v>0</v>
      </c>
      <c r="M361" s="565">
        <f t="shared" si="54"/>
        <v>0</v>
      </c>
      <c r="N361" s="565">
        <f t="shared" si="54"/>
        <v>0</v>
      </c>
      <c r="O361" s="565">
        <f t="shared" si="54"/>
        <v>0</v>
      </c>
      <c r="P361" s="565">
        <f t="shared" si="54"/>
        <v>0</v>
      </c>
      <c r="Q361" s="565">
        <f t="shared" si="54"/>
        <v>0</v>
      </c>
      <c r="R361" s="565">
        <f t="shared" si="54"/>
        <v>0</v>
      </c>
      <c r="S361" s="565">
        <f t="shared" si="54"/>
        <v>0</v>
      </c>
      <c r="T361" s="604">
        <f t="shared" si="54"/>
        <v>-2470877528</v>
      </c>
    </row>
    <row r="362" spans="3:22" ht="18" customHeight="1" thickBot="1">
      <c r="D362" s="316"/>
      <c r="E362" s="317"/>
      <c r="F362" s="605"/>
      <c r="G362" s="317" t="s">
        <v>1391</v>
      </c>
      <c r="H362" s="606">
        <f>H300</f>
        <v>-2047941235</v>
      </c>
      <c r="I362" s="606">
        <f>I300</f>
        <v>-12934791</v>
      </c>
      <c r="J362" s="606">
        <f>J300</f>
        <v>-268454125</v>
      </c>
      <c r="K362" s="606">
        <f>K300</f>
        <v>-2329330151</v>
      </c>
      <c r="L362" s="606">
        <f t="shared" ref="L362:T362" si="55">L300</f>
        <v>0</v>
      </c>
      <c r="M362" s="606">
        <f t="shared" si="55"/>
        <v>0</v>
      </c>
      <c r="N362" s="606">
        <f t="shared" si="55"/>
        <v>0</v>
      </c>
      <c r="O362" s="606">
        <f t="shared" si="55"/>
        <v>0</v>
      </c>
      <c r="P362" s="606">
        <f t="shared" si="55"/>
        <v>0</v>
      </c>
      <c r="Q362" s="606">
        <f t="shared" si="55"/>
        <v>0</v>
      </c>
      <c r="R362" s="606">
        <f t="shared" si="55"/>
        <v>0</v>
      </c>
      <c r="S362" s="606">
        <f t="shared" si="55"/>
        <v>0</v>
      </c>
      <c r="T362" s="607">
        <f t="shared" si="55"/>
        <v>-2329330151</v>
      </c>
    </row>
    <row r="364" spans="3:22" ht="18" customHeight="1" thickBot="1"/>
    <row r="365" spans="3:22" ht="18" customHeight="1">
      <c r="D365" s="313"/>
      <c r="E365" s="314"/>
      <c r="F365" s="601"/>
      <c r="G365" s="314" t="s">
        <v>302</v>
      </c>
      <c r="H365" s="602">
        <f>H14-SUM(T_IS!H69)</f>
        <v>0</v>
      </c>
      <c r="I365" s="602">
        <f>I14-SUM(T_IS!I69)</f>
        <v>0</v>
      </c>
      <c r="J365" s="602">
        <f>J14-SUM(T_IS!J69)</f>
        <v>0</v>
      </c>
      <c r="K365" s="602">
        <f>K14-SUM(T_IS!K69)</f>
        <v>0</v>
      </c>
      <c r="L365" s="314"/>
      <c r="M365" s="602"/>
      <c r="N365" s="602"/>
      <c r="O365" s="602"/>
      <c r="P365" s="602"/>
      <c r="Q365" s="602"/>
      <c r="R365" s="602"/>
      <c r="S365" s="314"/>
      <c r="T365" s="603">
        <f>T14-T_IS!W69</f>
        <v>0</v>
      </c>
    </row>
    <row r="366" spans="3:22" ht="18" customHeight="1">
      <c r="D366" s="315"/>
      <c r="G366" s="6" t="s">
        <v>684</v>
      </c>
      <c r="H366" s="565">
        <f>H15-SUM(T_IS!H94:H95)</f>
        <v>0</v>
      </c>
      <c r="I366" s="565">
        <f>I15-SUM(T_IS!I94:I95)</f>
        <v>0</v>
      </c>
      <c r="J366" s="565">
        <f>J15-SUM(T_IS!J94:J95)</f>
        <v>0</v>
      </c>
      <c r="K366" s="565">
        <f>K15-SUM(T_IS!K94:K95)</f>
        <v>0</v>
      </c>
      <c r="L366" s="565"/>
      <c r="T366" s="604">
        <f>T15-SUM(T_IS!W94:W95)</f>
        <v>0</v>
      </c>
    </row>
    <row r="367" spans="3:22" ht="18" customHeight="1">
      <c r="D367" s="315"/>
      <c r="G367" s="6" t="s">
        <v>709</v>
      </c>
      <c r="H367" s="565">
        <f>H17-SUM(T_IS!H96)</f>
        <v>0</v>
      </c>
      <c r="I367" s="565">
        <f>I17-SUM(T_IS!I96)</f>
        <v>0</v>
      </c>
      <c r="J367" s="565">
        <f>J17-SUM(T_IS!J96)</f>
        <v>0</v>
      </c>
      <c r="K367" s="565">
        <f>K17-SUM(T_IS!K96)</f>
        <v>0</v>
      </c>
      <c r="L367" s="565"/>
      <c r="T367" s="604">
        <f>T17-T_IS!W96</f>
        <v>0</v>
      </c>
    </row>
    <row r="368" spans="3:22" ht="18" customHeight="1">
      <c r="D368" s="315"/>
      <c r="G368" s="6" t="s">
        <v>688</v>
      </c>
      <c r="H368" s="565">
        <f>H29-SUM(T_IS!H105)</f>
        <v>0</v>
      </c>
      <c r="I368" s="565">
        <f>I29-SUM(T_IS!I105)</f>
        <v>0</v>
      </c>
      <c r="J368" s="565">
        <f>J29-SUM(T_IS!J105)</f>
        <v>0</v>
      </c>
      <c r="K368" s="565">
        <f>K29-SUM(T_IS!K105)</f>
        <v>0</v>
      </c>
      <c r="T368" s="604">
        <f>T29-T_IS!W105</f>
        <v>0</v>
      </c>
    </row>
    <row r="369" spans="4:20" ht="18" customHeight="1">
      <c r="D369" s="315"/>
      <c r="G369" s="6" t="s">
        <v>482</v>
      </c>
      <c r="H369" s="565">
        <f>H32-T_IS!H112</f>
        <v>0</v>
      </c>
      <c r="I369" s="565">
        <f>I32-T_IS!I112</f>
        <v>0</v>
      </c>
      <c r="J369" s="565">
        <f>J32-T_IS!J112</f>
        <v>0</v>
      </c>
      <c r="K369" s="565">
        <f>K32-T_IS!K112</f>
        <v>0</v>
      </c>
      <c r="T369" s="604">
        <f>T32-T_IS!W112</f>
        <v>0</v>
      </c>
    </row>
    <row r="370" spans="4:20" ht="18" customHeight="1">
      <c r="D370" s="315"/>
      <c r="G370" s="6" t="s">
        <v>687</v>
      </c>
      <c r="H370" s="565">
        <f>H33-T_IS!H104</f>
        <v>0</v>
      </c>
      <c r="I370" s="565">
        <f>I33-T_IS!I104</f>
        <v>0</v>
      </c>
      <c r="J370" s="565">
        <f>J33-T_IS!J104</f>
        <v>0</v>
      </c>
      <c r="K370" s="565">
        <f>K33-T_IS!K104</f>
        <v>0</v>
      </c>
      <c r="T370" s="604">
        <f>T33-T_IS!W104</f>
        <v>0</v>
      </c>
    </row>
    <row r="371" spans="4:20" ht="18" customHeight="1">
      <c r="D371" s="315"/>
      <c r="G371" s="6" t="s">
        <v>682</v>
      </c>
      <c r="H371" s="565">
        <f>H61-SUM(T_IS!H87:H90)</f>
        <v>0</v>
      </c>
      <c r="I371" s="565">
        <f>I61-SUM(T_IS!I87:I90)</f>
        <v>0</v>
      </c>
      <c r="J371" s="565">
        <f>J61-SUM(T_IS!J87:J90)</f>
        <v>0</v>
      </c>
      <c r="K371" s="565">
        <f>K61-SUM(T_IS!K87:K90)</f>
        <v>0</v>
      </c>
      <c r="T371" s="604">
        <f>T61-SUM(T_IS!W87:W90)</f>
        <v>0</v>
      </c>
    </row>
    <row r="372" spans="4:20" ht="18" customHeight="1">
      <c r="D372" s="315"/>
      <c r="G372" s="6" t="s">
        <v>380</v>
      </c>
      <c r="H372" s="565">
        <f>H62-SUM(T_IS!H122)</f>
        <v>0</v>
      </c>
      <c r="I372" s="565">
        <f>I62-SUM(T_IS!I122)</f>
        <v>0</v>
      </c>
      <c r="J372" s="565">
        <f>J62-SUM(T_IS!J122)</f>
        <v>0</v>
      </c>
      <c r="K372" s="565">
        <f>K62-SUM(T_IS!K122)</f>
        <v>0</v>
      </c>
      <c r="T372" s="604">
        <f>T62-SUM(T_IS!W122)</f>
        <v>0</v>
      </c>
    </row>
    <row r="373" spans="4:20" ht="18" customHeight="1">
      <c r="D373" s="315"/>
      <c r="G373" s="6" t="s">
        <v>674</v>
      </c>
      <c r="H373" s="565">
        <f>H110+SUM(T_IS!H77:H78)</f>
        <v>0</v>
      </c>
      <c r="I373" s="565">
        <f>I110+SUM(T_IS!I77:I78)</f>
        <v>0</v>
      </c>
      <c r="J373" s="565">
        <f>J110+SUM(T_IS!J77:J78)</f>
        <v>0</v>
      </c>
      <c r="K373" s="565">
        <f>K110+SUM(T_IS!K77:K78)</f>
        <v>0</v>
      </c>
      <c r="T373" s="604">
        <f>T110+SUM(T_IS!W77:W78)</f>
        <v>0</v>
      </c>
    </row>
    <row r="374" spans="4:20" ht="18" customHeight="1">
      <c r="D374" s="315"/>
      <c r="G374" s="6" t="s">
        <v>676</v>
      </c>
      <c r="H374" s="565">
        <f>H75+SUM(T_IS!H82:H83)</f>
        <v>0</v>
      </c>
      <c r="I374" s="565">
        <f>I75+SUM(T_IS!I82:I83)</f>
        <v>0</v>
      </c>
      <c r="J374" s="565">
        <f>J75+SUM(T_IS!J82:J83)</f>
        <v>0</v>
      </c>
      <c r="K374" s="565">
        <f>K75+SUM(T_IS!K82:K83)</f>
        <v>0</v>
      </c>
      <c r="T374" s="604">
        <f>T75+SUM(T_IS!W82:W83)</f>
        <v>0</v>
      </c>
    </row>
    <row r="375" spans="4:20" ht="18" customHeight="1">
      <c r="D375" s="315"/>
      <c r="G375" s="6" t="s">
        <v>810</v>
      </c>
      <c r="H375" s="565">
        <f>H115+SUM(T_IS!H85)</f>
        <v>0</v>
      </c>
      <c r="I375" s="565">
        <f>I115+SUM(T_IS!I85)</f>
        <v>0</v>
      </c>
      <c r="J375" s="565">
        <f>J115+SUM(T_IS!J85)</f>
        <v>0</v>
      </c>
      <c r="K375" s="565">
        <f>K115+SUM(T_IS!K85)</f>
        <v>0</v>
      </c>
      <c r="T375" s="604">
        <f>T115+SUM(T_IS!W85)</f>
        <v>0</v>
      </c>
    </row>
    <row r="376" spans="4:20" ht="18" customHeight="1">
      <c r="D376" s="315"/>
      <c r="G376" s="6" t="s">
        <v>812</v>
      </c>
      <c r="H376" s="565">
        <f>H114+T_IS!H84</f>
        <v>0</v>
      </c>
      <c r="I376" s="565">
        <f>I114+T_IS!I84</f>
        <v>0</v>
      </c>
      <c r="J376" s="565">
        <f>J114+T_IS!J84</f>
        <v>0</v>
      </c>
      <c r="K376" s="565">
        <f>K114+T_IS!K84</f>
        <v>0</v>
      </c>
      <c r="T376" s="604">
        <f>T114+T_IS!W84</f>
        <v>0</v>
      </c>
    </row>
    <row r="377" spans="4:20" ht="18" customHeight="1">
      <c r="D377" s="315"/>
      <c r="G377" s="6" t="s">
        <v>818</v>
      </c>
      <c r="H377" s="565">
        <f>H80+T_IS!H115</f>
        <v>0</v>
      </c>
      <c r="I377" s="565">
        <f>I80+T_IS!I115</f>
        <v>0</v>
      </c>
      <c r="J377" s="565">
        <f>J80+T_IS!J115</f>
        <v>0</v>
      </c>
      <c r="K377" s="565">
        <f>K80+T_IS!K115</f>
        <v>0</v>
      </c>
      <c r="T377" s="604">
        <f>T80+T_IS!W115</f>
        <v>0</v>
      </c>
    </row>
    <row r="378" spans="4:20" ht="18" customHeight="1">
      <c r="D378" s="315"/>
      <c r="G378" s="6" t="s">
        <v>679</v>
      </c>
      <c r="H378" s="565">
        <f>H89+T_IS!H99</f>
        <v>0</v>
      </c>
      <c r="I378" s="565">
        <f>I89+T_IS!I99</f>
        <v>0</v>
      </c>
      <c r="J378" s="565">
        <f>J89+T_IS!J99</f>
        <v>0</v>
      </c>
      <c r="K378" s="565">
        <f>K89+T_IS!K99</f>
        <v>0</v>
      </c>
      <c r="T378" s="604">
        <f>T89+T_IS!W99</f>
        <v>0</v>
      </c>
    </row>
    <row r="379" spans="4:20" ht="18" customHeight="1" thickBot="1">
      <c r="D379" s="316"/>
      <c r="E379" s="317"/>
      <c r="F379" s="605"/>
      <c r="G379" s="317" t="s">
        <v>680</v>
      </c>
      <c r="H379" s="606">
        <f>H91+T_IS!H100</f>
        <v>0</v>
      </c>
      <c r="I379" s="606">
        <f>I91+T_IS!I100</f>
        <v>0</v>
      </c>
      <c r="J379" s="606">
        <f>J91+T_IS!J100</f>
        <v>0</v>
      </c>
      <c r="K379" s="606">
        <f>K91+T_IS!K100</f>
        <v>0</v>
      </c>
      <c r="L379" s="317"/>
      <c r="M379" s="606"/>
      <c r="N379" s="606"/>
      <c r="O379" s="606"/>
      <c r="P379" s="606"/>
      <c r="Q379" s="606"/>
      <c r="R379" s="606"/>
      <c r="S379" s="317"/>
      <c r="T379" s="607">
        <f>T91+T_IS!W100</f>
        <v>0</v>
      </c>
    </row>
    <row r="382" spans="4:20" ht="18" customHeight="1">
      <c r="I382" s="565">
        <f>I373/2</f>
        <v>0</v>
      </c>
    </row>
  </sheetData>
  <autoFilter ref="D6:T358" xr:uid="{00000000-0009-0000-0000-000006000000}"/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9" tint="0.79998168889431442"/>
  </sheetPr>
  <dimension ref="C3:N121"/>
  <sheetViews>
    <sheetView showGridLines="0" topLeftCell="A34" zoomScale="80" zoomScaleNormal="80" workbookViewId="0">
      <selection activeCell="F33" sqref="F33"/>
    </sheetView>
  </sheetViews>
  <sheetFormatPr defaultColWidth="8.75" defaultRowHeight="20.45" customHeight="1"/>
  <cols>
    <col min="1" max="3" width="2.375" style="5" customWidth="1"/>
    <col min="4" max="13" width="19.875" style="5" customWidth="1"/>
    <col min="14" max="15" width="25" style="5" customWidth="1"/>
    <col min="16" max="22" width="20.375" style="5" customWidth="1"/>
    <col min="23" max="16384" width="8.75" style="5"/>
  </cols>
  <sheetData>
    <row r="3" spans="3:13" s="4" customFormat="1" ht="20.45" customHeight="1">
      <c r="C3" s="4" t="s">
        <v>1499</v>
      </c>
    </row>
    <row r="4" spans="3:13" s="4" customFormat="1" ht="20.45" customHeight="1" thickBot="1">
      <c r="D4" s="4" t="s">
        <v>1505</v>
      </c>
      <c r="E4" s="4" t="s">
        <v>1996</v>
      </c>
      <c r="F4" s="4" t="s">
        <v>1995</v>
      </c>
    </row>
    <row r="5" spans="3:13" s="8" customFormat="1" ht="20.45" customHeight="1">
      <c r="D5" s="440" t="s">
        <v>500</v>
      </c>
      <c r="E5" s="441" t="s">
        <v>1500</v>
      </c>
      <c r="F5" s="441" t="s">
        <v>1502</v>
      </c>
      <c r="G5" s="549" t="s">
        <v>1501</v>
      </c>
      <c r="H5" s="440" t="s">
        <v>393</v>
      </c>
      <c r="I5" s="441" t="s">
        <v>1503</v>
      </c>
      <c r="J5" s="549" t="s">
        <v>1504</v>
      </c>
      <c r="K5" s="440" t="s">
        <v>393</v>
      </c>
      <c r="L5" s="441" t="s">
        <v>1503</v>
      </c>
      <c r="M5" s="549" t="s">
        <v>1504</v>
      </c>
    </row>
    <row r="6" spans="3:13" ht="20.45" customHeight="1">
      <c r="D6" s="357" t="s">
        <v>15</v>
      </c>
      <c r="E6" s="7">
        <v>83906422015</v>
      </c>
      <c r="F6" s="7">
        <f>'CF.1'!H352</f>
        <v>83906422015</v>
      </c>
      <c r="G6" s="15">
        <f>F6-E6</f>
        <v>0</v>
      </c>
      <c r="H6" s="357" t="s">
        <v>1331</v>
      </c>
      <c r="I6" s="7" t="s">
        <v>1332</v>
      </c>
      <c r="J6" s="15">
        <f>-G6</f>
        <v>0</v>
      </c>
      <c r="K6" s="357" t="s">
        <v>1331</v>
      </c>
      <c r="L6" s="7" t="s">
        <v>1332</v>
      </c>
      <c r="M6" s="15"/>
    </row>
    <row r="7" spans="3:13" ht="20.45" customHeight="1">
      <c r="D7" s="357" t="s">
        <v>217</v>
      </c>
      <c r="E7" s="7">
        <v>24842904</v>
      </c>
      <c r="F7" s="7">
        <f>'CF.1'!I352</f>
        <v>24842904</v>
      </c>
      <c r="G7" s="15">
        <f>F7-E7</f>
        <v>0</v>
      </c>
      <c r="H7" s="357" t="s">
        <v>1331</v>
      </c>
      <c r="I7" s="7" t="s">
        <v>1332</v>
      </c>
      <c r="J7" s="15">
        <f t="shared" ref="J7:J12" si="0">-G7</f>
        <v>0</v>
      </c>
      <c r="K7" s="357" t="s">
        <v>1331</v>
      </c>
      <c r="L7" s="7" t="s">
        <v>1332</v>
      </c>
      <c r="M7" s="15"/>
    </row>
    <row r="8" spans="3:13" ht="20.45" customHeight="1">
      <c r="D8" s="357" t="s">
        <v>213</v>
      </c>
      <c r="E8" s="7"/>
      <c r="F8" s="7"/>
      <c r="G8" s="15"/>
      <c r="H8" s="357" t="s">
        <v>1331</v>
      </c>
      <c r="I8" s="7" t="s">
        <v>1332</v>
      </c>
      <c r="J8" s="15">
        <f t="shared" si="0"/>
        <v>0</v>
      </c>
      <c r="K8" s="357" t="s">
        <v>1331</v>
      </c>
      <c r="L8" s="7" t="s">
        <v>1332</v>
      </c>
      <c r="M8" s="15"/>
    </row>
    <row r="9" spans="3:13" ht="20.45" customHeight="1">
      <c r="D9" s="357" t="s">
        <v>214</v>
      </c>
      <c r="E9" s="7"/>
      <c r="F9" s="7"/>
      <c r="G9" s="15"/>
      <c r="H9" s="357" t="s">
        <v>1331</v>
      </c>
      <c r="I9" s="7" t="s">
        <v>1332</v>
      </c>
      <c r="J9" s="15">
        <f t="shared" si="0"/>
        <v>0</v>
      </c>
      <c r="K9" s="357" t="s">
        <v>1331</v>
      </c>
      <c r="L9" s="7" t="s">
        <v>1332</v>
      </c>
      <c r="M9" s="15"/>
    </row>
    <row r="10" spans="3:13" ht="20.45" customHeight="1">
      <c r="D10" s="357" t="s">
        <v>215</v>
      </c>
      <c r="E10" s="7">
        <v>4970127757</v>
      </c>
      <c r="F10" s="7">
        <f>'CF.1'!J352</f>
        <v>4970127757</v>
      </c>
      <c r="G10" s="15">
        <f>F10-E10</f>
        <v>0</v>
      </c>
      <c r="H10" s="357" t="s">
        <v>1331</v>
      </c>
      <c r="I10" s="7" t="s">
        <v>1332</v>
      </c>
      <c r="J10" s="15">
        <f t="shared" si="0"/>
        <v>0</v>
      </c>
      <c r="K10" s="357" t="s">
        <v>1331</v>
      </c>
      <c r="L10" s="7" t="s">
        <v>1332</v>
      </c>
      <c r="M10" s="15"/>
    </row>
    <row r="11" spans="3:13" ht="20.45" customHeight="1">
      <c r="D11" s="357" t="s">
        <v>531</v>
      </c>
      <c r="E11" s="7"/>
      <c r="F11" s="7"/>
      <c r="G11" s="15"/>
      <c r="H11" s="357" t="s">
        <v>1331</v>
      </c>
      <c r="I11" s="7" t="s">
        <v>1332</v>
      </c>
      <c r="J11" s="15">
        <f t="shared" si="0"/>
        <v>0</v>
      </c>
      <c r="K11" s="357" t="s">
        <v>1331</v>
      </c>
      <c r="L11" s="7" t="s">
        <v>1332</v>
      </c>
      <c r="M11" s="15"/>
    </row>
    <row r="12" spans="3:13" ht="20.45" customHeight="1" thickBot="1">
      <c r="D12" s="465" t="s">
        <v>216</v>
      </c>
      <c r="E12" s="16"/>
      <c r="F12" s="16"/>
      <c r="G12" s="17"/>
      <c r="H12" s="465" t="s">
        <v>1331</v>
      </c>
      <c r="I12" s="16" t="s">
        <v>1332</v>
      </c>
      <c r="J12" s="17">
        <f t="shared" si="0"/>
        <v>0</v>
      </c>
      <c r="K12" s="465" t="s">
        <v>1159</v>
      </c>
      <c r="L12" s="16" t="s">
        <v>1160</v>
      </c>
      <c r="M12" s="17">
        <f>J12</f>
        <v>0</v>
      </c>
    </row>
    <row r="13" spans="3:13" s="4" customFormat="1" ht="20.45" customHeight="1" thickBot="1">
      <c r="D13" s="550"/>
      <c r="E13" s="551">
        <f>SUM(E6:E12)</f>
        <v>88901392676</v>
      </c>
      <c r="F13" s="551">
        <f>SUM(F6:F12)</f>
        <v>88901392676</v>
      </c>
      <c r="G13" s="551"/>
      <c r="H13" s="551"/>
      <c r="I13" s="551"/>
      <c r="J13" s="551"/>
      <c r="K13" s="551"/>
      <c r="L13" s="551"/>
      <c r="M13" s="552"/>
    </row>
    <row r="15" spans="3:13" s="4" customFormat="1" ht="20.45" customHeight="1" thickBot="1">
      <c r="D15" s="4" t="s">
        <v>1506</v>
      </c>
    </row>
    <row r="16" spans="3:13" ht="20.45" customHeight="1">
      <c r="D16" s="440" t="s">
        <v>500</v>
      </c>
      <c r="E16" s="441" t="s">
        <v>1500</v>
      </c>
      <c r="F16" s="441" t="s">
        <v>1704</v>
      </c>
      <c r="G16" s="549" t="s">
        <v>1501</v>
      </c>
      <c r="H16" s="440" t="s">
        <v>393</v>
      </c>
      <c r="I16" s="441" t="s">
        <v>1503</v>
      </c>
      <c r="J16" s="549" t="s">
        <v>1504</v>
      </c>
      <c r="K16" s="440" t="s">
        <v>393</v>
      </c>
      <c r="L16" s="441" t="s">
        <v>1503</v>
      </c>
      <c r="M16" s="549" t="s">
        <v>1504</v>
      </c>
    </row>
    <row r="17" spans="3:13" ht="20.45" customHeight="1">
      <c r="D17" s="357" t="s">
        <v>15</v>
      </c>
      <c r="E17" s="7">
        <f>T_BS!H9</f>
        <v>93366762419</v>
      </c>
      <c r="F17" s="7">
        <f>'CF.1'!H355</f>
        <v>93366762419</v>
      </c>
      <c r="G17" s="15">
        <f t="shared" ref="G17:G24" si="1">F17-E17</f>
        <v>0</v>
      </c>
      <c r="H17" s="357" t="s">
        <v>1336</v>
      </c>
      <c r="I17" s="7" t="s">
        <v>1337</v>
      </c>
      <c r="J17" s="15">
        <f>-G17</f>
        <v>0</v>
      </c>
      <c r="K17" s="357" t="s">
        <v>1336</v>
      </c>
      <c r="L17" s="7" t="s">
        <v>1337</v>
      </c>
      <c r="M17" s="15"/>
    </row>
    <row r="18" spans="3:13" ht="20.45" customHeight="1">
      <c r="D18" s="357" t="s">
        <v>217</v>
      </c>
      <c r="E18" s="7">
        <f>T_BS!I9</f>
        <v>15528652</v>
      </c>
      <c r="F18" s="7">
        <f>'CF.1'!I355</f>
        <v>15528652</v>
      </c>
      <c r="G18" s="15">
        <f t="shared" si="1"/>
        <v>0</v>
      </c>
      <c r="H18" s="357" t="s">
        <v>1336</v>
      </c>
      <c r="I18" s="7" t="s">
        <v>1337</v>
      </c>
      <c r="J18" s="15">
        <f t="shared" ref="J18:J24" si="2">-G18</f>
        <v>0</v>
      </c>
      <c r="K18" s="357" t="s">
        <v>1336</v>
      </c>
      <c r="L18" s="7" t="s">
        <v>1337</v>
      </c>
      <c r="M18" s="15"/>
    </row>
    <row r="19" spans="3:13" ht="20.45" customHeight="1">
      <c r="D19" s="357" t="s">
        <v>213</v>
      </c>
      <c r="E19" s="7"/>
      <c r="F19" s="7"/>
      <c r="G19" s="15">
        <f t="shared" si="1"/>
        <v>0</v>
      </c>
      <c r="H19" s="357" t="s">
        <v>1336</v>
      </c>
      <c r="I19" s="7" t="s">
        <v>1337</v>
      </c>
      <c r="J19" s="15">
        <f t="shared" si="2"/>
        <v>0</v>
      </c>
      <c r="K19" s="357" t="s">
        <v>1050</v>
      </c>
      <c r="L19" s="7" t="s">
        <v>1051</v>
      </c>
      <c r="M19" s="15">
        <f>-J19</f>
        <v>0</v>
      </c>
    </row>
    <row r="20" spans="3:13" ht="20.45" customHeight="1">
      <c r="D20" s="357" t="s">
        <v>214</v>
      </c>
      <c r="E20" s="7"/>
      <c r="F20" s="7"/>
      <c r="G20" s="15">
        <f t="shared" si="1"/>
        <v>0</v>
      </c>
      <c r="H20" s="357" t="s">
        <v>1336</v>
      </c>
      <c r="I20" s="7" t="s">
        <v>1337</v>
      </c>
      <c r="J20" s="15">
        <f t="shared" si="2"/>
        <v>0</v>
      </c>
      <c r="K20" s="357" t="s">
        <v>1234</v>
      </c>
      <c r="L20" s="7" t="s">
        <v>1235</v>
      </c>
      <c r="M20" s="15">
        <f>-J20</f>
        <v>0</v>
      </c>
    </row>
    <row r="21" spans="3:13" ht="20.45" customHeight="1">
      <c r="D21" s="357"/>
      <c r="E21" s="7"/>
      <c r="F21" s="7"/>
      <c r="G21" s="15"/>
      <c r="H21" s="357" t="s">
        <v>1319</v>
      </c>
      <c r="I21" s="7" t="s">
        <v>1320</v>
      </c>
      <c r="J21" s="15">
        <f>M21</f>
        <v>0</v>
      </c>
      <c r="K21" s="357" t="s">
        <v>1234</v>
      </c>
      <c r="L21" s="7" t="s">
        <v>1235</v>
      </c>
      <c r="M21" s="15"/>
    </row>
    <row r="22" spans="3:13" ht="20.45" customHeight="1">
      <c r="D22" s="357" t="s">
        <v>215</v>
      </c>
      <c r="E22" s="7">
        <f>T_BS!J9</f>
        <v>3888916061</v>
      </c>
      <c r="F22" s="7">
        <f>'CF.1'!J355</f>
        <v>3888916061</v>
      </c>
      <c r="G22" s="15">
        <f t="shared" si="1"/>
        <v>0</v>
      </c>
      <c r="H22" s="357" t="s">
        <v>1336</v>
      </c>
      <c r="I22" s="7" t="s">
        <v>1337</v>
      </c>
      <c r="J22" s="15">
        <f t="shared" si="2"/>
        <v>0</v>
      </c>
      <c r="K22" s="357" t="s">
        <v>1336</v>
      </c>
      <c r="L22" s="7" t="s">
        <v>1337</v>
      </c>
      <c r="M22" s="15"/>
    </row>
    <row r="23" spans="3:13" ht="20.45" customHeight="1">
      <c r="D23" s="357" t="s">
        <v>531</v>
      </c>
      <c r="E23" s="7"/>
      <c r="F23" s="7"/>
      <c r="G23" s="15">
        <f t="shared" si="1"/>
        <v>0</v>
      </c>
      <c r="H23" s="357" t="s">
        <v>1336</v>
      </c>
      <c r="I23" s="7" t="s">
        <v>1337</v>
      </c>
      <c r="J23" s="15">
        <f t="shared" si="2"/>
        <v>0</v>
      </c>
      <c r="K23" s="357" t="s">
        <v>1264</v>
      </c>
      <c r="L23" s="7" t="s">
        <v>1265</v>
      </c>
      <c r="M23" s="15">
        <f>-J23</f>
        <v>0</v>
      </c>
    </row>
    <row r="24" spans="3:13" ht="20.45" customHeight="1" thickBot="1">
      <c r="D24" s="465" t="s">
        <v>216</v>
      </c>
      <c r="E24" s="16"/>
      <c r="F24" s="16"/>
      <c r="G24" s="17">
        <f t="shared" si="1"/>
        <v>0</v>
      </c>
      <c r="H24" s="465" t="s">
        <v>1336</v>
      </c>
      <c r="I24" s="16" t="s">
        <v>1337</v>
      </c>
      <c r="J24" s="17">
        <f t="shared" si="2"/>
        <v>0</v>
      </c>
      <c r="K24" s="357" t="s">
        <v>1264</v>
      </c>
      <c r="L24" s="7" t="s">
        <v>1265</v>
      </c>
      <c r="M24" s="15">
        <f>-J24</f>
        <v>0</v>
      </c>
    </row>
    <row r="25" spans="3:13" ht="20.45" customHeight="1" thickBot="1">
      <c r="D25" s="553"/>
      <c r="E25" s="554">
        <f>SUM(E17:E24)</f>
        <v>97271207132</v>
      </c>
      <c r="F25" s="554">
        <f>SUM(F17:F24)</f>
        <v>97271207132</v>
      </c>
      <c r="G25" s="554"/>
      <c r="H25" s="554"/>
      <c r="I25" s="554"/>
      <c r="J25" s="554"/>
      <c r="K25" s="554"/>
      <c r="L25" s="554"/>
      <c r="M25" s="555"/>
    </row>
    <row r="27" spans="3:13" s="4" customFormat="1" ht="20.45" customHeight="1">
      <c r="C27" s="4" t="s">
        <v>1507</v>
      </c>
    </row>
    <row r="28" spans="3:13" s="4" customFormat="1" ht="20.45" customHeight="1" thickBot="1">
      <c r="D28" s="4" t="s">
        <v>1508</v>
      </c>
    </row>
    <row r="29" spans="3:13" ht="20.45" customHeight="1">
      <c r="D29" s="440" t="s">
        <v>415</v>
      </c>
      <c r="E29" s="441" t="s">
        <v>1500</v>
      </c>
      <c r="F29" s="441"/>
      <c r="G29" s="549" t="s">
        <v>1501</v>
      </c>
      <c r="H29" s="440" t="s">
        <v>393</v>
      </c>
      <c r="I29" s="441" t="s">
        <v>1503</v>
      </c>
      <c r="J29" s="549" t="s">
        <v>1504</v>
      </c>
      <c r="K29" s="440" t="s">
        <v>393</v>
      </c>
      <c r="L29" s="441" t="s">
        <v>1503</v>
      </c>
      <c r="M29" s="549" t="s">
        <v>1504</v>
      </c>
    </row>
    <row r="30" spans="3:13" ht="20.45" customHeight="1">
      <c r="D30" s="357" t="s">
        <v>489</v>
      </c>
      <c r="E30" s="7">
        <v>0</v>
      </c>
      <c r="F30" s="7"/>
      <c r="G30" s="15">
        <f t="shared" ref="G30:G36" si="3">F30-E30</f>
        <v>0</v>
      </c>
      <c r="H30" s="357" t="s">
        <v>697</v>
      </c>
      <c r="I30" s="7" t="s">
        <v>209</v>
      </c>
      <c r="J30" s="15">
        <f>G30</f>
        <v>0</v>
      </c>
      <c r="K30" s="357" t="s">
        <v>701</v>
      </c>
      <c r="L30" s="7" t="s">
        <v>489</v>
      </c>
      <c r="M30" s="15">
        <f>-J30</f>
        <v>0</v>
      </c>
    </row>
    <row r="31" spans="3:13" ht="20.45" customHeight="1">
      <c r="D31" s="357" t="s">
        <v>386</v>
      </c>
      <c r="E31" s="7">
        <f>'5.0'!N9</f>
        <v>719869189</v>
      </c>
      <c r="F31" s="7"/>
      <c r="G31" s="15">
        <f t="shared" si="3"/>
        <v>-719869189</v>
      </c>
      <c r="H31" s="357" t="s">
        <v>697</v>
      </c>
      <c r="I31" s="7" t="s">
        <v>209</v>
      </c>
      <c r="J31" s="15">
        <f>G31</f>
        <v>-719869189</v>
      </c>
      <c r="K31" s="357" t="s">
        <v>702</v>
      </c>
      <c r="L31" s="7" t="s">
        <v>386</v>
      </c>
      <c r="M31" s="15">
        <f>-J31</f>
        <v>719869189</v>
      </c>
    </row>
    <row r="32" spans="3:13" ht="20.45" customHeight="1">
      <c r="D32" s="357" t="s">
        <v>380</v>
      </c>
      <c r="E32" s="7">
        <f>'5.0'!N10</f>
        <v>-1924499179</v>
      </c>
      <c r="F32" s="7"/>
      <c r="G32" s="15">
        <f t="shared" si="3"/>
        <v>1924499179</v>
      </c>
      <c r="H32" s="357" t="s">
        <v>697</v>
      </c>
      <c r="I32" s="7" t="s">
        <v>209</v>
      </c>
      <c r="J32" s="15">
        <f>G32</f>
        <v>1924499179</v>
      </c>
      <c r="K32" s="357" t="s">
        <v>785</v>
      </c>
      <c r="L32" s="7" t="s">
        <v>380</v>
      </c>
      <c r="M32" s="15">
        <f>-J32</f>
        <v>-1924499179</v>
      </c>
    </row>
    <row r="33" spans="4:13" ht="20.45" customHeight="1">
      <c r="D33" s="357" t="s">
        <v>687</v>
      </c>
      <c r="E33" s="211">
        <f>'5.0'!N19</f>
        <v>4808712105</v>
      </c>
      <c r="F33" s="7"/>
      <c r="G33" s="15">
        <f t="shared" si="3"/>
        <v>-4808712105</v>
      </c>
      <c r="H33" s="357" t="s">
        <v>697</v>
      </c>
      <c r="I33" s="7" t="s">
        <v>209</v>
      </c>
      <c r="J33" s="15">
        <f>G33</f>
        <v>-4808712105</v>
      </c>
      <c r="K33" s="357" t="s">
        <v>738</v>
      </c>
      <c r="L33" s="7" t="s">
        <v>687</v>
      </c>
      <c r="M33" s="15">
        <f>-J33</f>
        <v>4808712105</v>
      </c>
    </row>
    <row r="34" spans="4:13" ht="20.45" customHeight="1">
      <c r="D34" s="357"/>
      <c r="E34" s="7"/>
      <c r="F34" s="7"/>
      <c r="G34" s="15">
        <f t="shared" si="3"/>
        <v>0</v>
      </c>
      <c r="H34" s="357"/>
      <c r="I34" s="7"/>
      <c r="J34" s="15"/>
      <c r="K34" s="357"/>
      <c r="L34" s="7"/>
      <c r="M34" s="15"/>
    </row>
    <row r="35" spans="4:13" ht="20.45" customHeight="1">
      <c r="D35" s="357"/>
      <c r="E35" s="7"/>
      <c r="F35" s="7"/>
      <c r="G35" s="15">
        <f t="shared" si="3"/>
        <v>0</v>
      </c>
      <c r="H35" s="357"/>
      <c r="I35" s="7"/>
      <c r="J35" s="15"/>
      <c r="K35" s="357"/>
      <c r="L35" s="7"/>
      <c r="M35" s="15"/>
    </row>
    <row r="36" spans="4:13" ht="20.45" customHeight="1" thickBot="1">
      <c r="D36" s="465"/>
      <c r="E36" s="16"/>
      <c r="F36" s="16"/>
      <c r="G36" s="17">
        <f t="shared" si="3"/>
        <v>0</v>
      </c>
      <c r="H36" s="465"/>
      <c r="I36" s="16"/>
      <c r="J36" s="17"/>
      <c r="K36" s="465"/>
      <c r="L36" s="16"/>
      <c r="M36" s="17"/>
    </row>
    <row r="37" spans="4:13" ht="20.45" customHeight="1" thickBot="1">
      <c r="D37" s="553"/>
      <c r="E37" s="554">
        <f>SUM(E30:E36)</f>
        <v>3604082115</v>
      </c>
      <c r="F37" s="554">
        <f>SUM(F30:F36)</f>
        <v>0</v>
      </c>
      <c r="G37" s="554"/>
      <c r="H37" s="554"/>
      <c r="I37" s="554"/>
      <c r="J37" s="554"/>
      <c r="K37" s="554"/>
      <c r="L37" s="554"/>
      <c r="M37" s="555"/>
    </row>
    <row r="39" spans="4:13" s="4" customFormat="1" ht="20.45" customHeight="1" thickBot="1">
      <c r="D39" s="4" t="s">
        <v>1514</v>
      </c>
    </row>
    <row r="40" spans="4:13" ht="20.45" customHeight="1">
      <c r="D40" s="440" t="s">
        <v>415</v>
      </c>
      <c r="E40" s="441" t="s">
        <v>1500</v>
      </c>
      <c r="F40" s="441"/>
      <c r="G40" s="549" t="s">
        <v>1501</v>
      </c>
      <c r="H40" s="440" t="s">
        <v>393</v>
      </c>
      <c r="I40" s="441" t="s">
        <v>1503</v>
      </c>
      <c r="J40" s="549" t="s">
        <v>1504</v>
      </c>
      <c r="K40" s="440" t="s">
        <v>393</v>
      </c>
      <c r="L40" s="441" t="s">
        <v>1503</v>
      </c>
      <c r="M40" s="549" t="s">
        <v>1504</v>
      </c>
    </row>
    <row r="41" spans="4:13" ht="20.45" customHeight="1">
      <c r="D41" s="357" t="s">
        <v>242</v>
      </c>
      <c r="E41" s="7">
        <f>-SUM('4.0'!N36,'4.0'!N34,'4.0'!N16,'4.0'!N14,'4.0'!N58)</f>
        <v>-28546061</v>
      </c>
      <c r="F41" s="7"/>
      <c r="G41" s="15">
        <f t="shared" ref="G41:G47" si="4">F41-E41</f>
        <v>28546061</v>
      </c>
      <c r="H41" s="357" t="s">
        <v>697</v>
      </c>
      <c r="I41" s="7" t="s">
        <v>209</v>
      </c>
      <c r="J41" s="15">
        <f>-G41</f>
        <v>-28546061</v>
      </c>
      <c r="K41" s="357" t="s">
        <v>924</v>
      </c>
      <c r="L41" s="7" t="s">
        <v>925</v>
      </c>
      <c r="M41" s="15">
        <f>-J41</f>
        <v>28546061</v>
      </c>
    </row>
    <row r="42" spans="4:13" ht="20.45" customHeight="1">
      <c r="D42" s="357" t="s">
        <v>302</v>
      </c>
      <c r="E42" s="7">
        <f>-'4.0'!N66</f>
        <v>0</v>
      </c>
      <c r="F42" s="7"/>
      <c r="G42" s="15">
        <f t="shared" si="4"/>
        <v>0</v>
      </c>
      <c r="H42" s="357" t="s">
        <v>697</v>
      </c>
      <c r="I42" s="7" t="s">
        <v>209</v>
      </c>
      <c r="J42" s="15">
        <f>-G42</f>
        <v>0</v>
      </c>
      <c r="K42" s="357" t="s">
        <v>704</v>
      </c>
      <c r="L42" s="7" t="s">
        <v>302</v>
      </c>
      <c r="M42" s="15">
        <f>-J42</f>
        <v>0</v>
      </c>
    </row>
    <row r="43" spans="4:13" ht="20.45" customHeight="1">
      <c r="D43" s="357" t="s">
        <v>296</v>
      </c>
      <c r="E43" s="7">
        <f>-'4.0'!N72</f>
        <v>0</v>
      </c>
      <c r="F43" s="7"/>
      <c r="G43" s="15">
        <f t="shared" si="4"/>
        <v>0</v>
      </c>
      <c r="H43" s="357" t="s">
        <v>697</v>
      </c>
      <c r="I43" s="7" t="s">
        <v>209</v>
      </c>
      <c r="J43" s="15">
        <f>-G43</f>
        <v>0</v>
      </c>
      <c r="K43" s="357"/>
      <c r="L43" s="7"/>
      <c r="M43" s="15"/>
    </row>
    <row r="44" spans="4:13" ht="20.45" customHeight="1">
      <c r="D44" s="357"/>
      <c r="E44" s="7"/>
      <c r="F44" s="7"/>
      <c r="G44" s="15">
        <f t="shared" si="4"/>
        <v>0</v>
      </c>
      <c r="H44" s="357"/>
      <c r="I44" s="7"/>
      <c r="J44" s="15"/>
      <c r="K44" s="357"/>
      <c r="L44" s="7"/>
      <c r="M44" s="15">
        <f>-J44</f>
        <v>0</v>
      </c>
    </row>
    <row r="45" spans="4:13" ht="20.45" customHeight="1">
      <c r="D45" s="357"/>
      <c r="E45" s="7"/>
      <c r="F45" s="7"/>
      <c r="G45" s="15">
        <f t="shared" si="4"/>
        <v>0</v>
      </c>
      <c r="H45" s="357"/>
      <c r="I45" s="7"/>
      <c r="J45" s="15"/>
      <c r="K45" s="357"/>
      <c r="L45" s="7"/>
      <c r="M45" s="15"/>
    </row>
    <row r="46" spans="4:13" ht="20.45" customHeight="1">
      <c r="D46" s="357"/>
      <c r="E46" s="7"/>
      <c r="F46" s="7"/>
      <c r="G46" s="15">
        <f t="shared" si="4"/>
        <v>0</v>
      </c>
      <c r="H46" s="357"/>
      <c r="I46" s="7"/>
      <c r="J46" s="15"/>
      <c r="K46" s="357"/>
      <c r="L46" s="7"/>
      <c r="M46" s="15"/>
    </row>
    <row r="47" spans="4:13" ht="20.45" customHeight="1" thickBot="1">
      <c r="D47" s="465"/>
      <c r="E47" s="16"/>
      <c r="F47" s="16"/>
      <c r="G47" s="17">
        <f t="shared" si="4"/>
        <v>0</v>
      </c>
      <c r="H47" s="465"/>
      <c r="I47" s="16"/>
      <c r="J47" s="17"/>
      <c r="K47" s="465"/>
      <c r="L47" s="16"/>
      <c r="M47" s="17"/>
    </row>
    <row r="48" spans="4:13" ht="20.45" customHeight="1" thickBot="1">
      <c r="D48" s="553"/>
      <c r="E48" s="554">
        <f>SUM(E41:E47)</f>
        <v>-28546061</v>
      </c>
      <c r="F48" s="554">
        <f>SUM(F41:F47)</f>
        <v>0</v>
      </c>
      <c r="G48" s="554"/>
      <c r="H48" s="554"/>
      <c r="I48" s="554"/>
      <c r="J48" s="554"/>
      <c r="K48" s="554"/>
      <c r="L48" s="554"/>
      <c r="M48" s="555"/>
    </row>
    <row r="50" spans="3:14" s="4" customFormat="1" ht="20.45" customHeight="1" thickBot="1">
      <c r="D50" s="4" t="s">
        <v>1838</v>
      </c>
    </row>
    <row r="51" spans="3:14" ht="20.45" customHeight="1">
      <c r="D51" s="440" t="s">
        <v>415</v>
      </c>
      <c r="E51" s="441" t="s">
        <v>1500</v>
      </c>
      <c r="F51" s="441"/>
      <c r="G51" s="549" t="s">
        <v>1501</v>
      </c>
      <c r="H51" s="440" t="s">
        <v>393</v>
      </c>
      <c r="I51" s="441" t="s">
        <v>1503</v>
      </c>
      <c r="J51" s="549" t="s">
        <v>1504</v>
      </c>
      <c r="K51" s="440" t="s">
        <v>393</v>
      </c>
      <c r="L51" s="441" t="s">
        <v>1503</v>
      </c>
      <c r="M51" s="549" t="s">
        <v>1504</v>
      </c>
    </row>
    <row r="52" spans="3:14" ht="20.45" customHeight="1">
      <c r="D52" s="357" t="s">
        <v>818</v>
      </c>
      <c r="E52" s="7">
        <f>-'7.0'!I6</f>
        <v>0</v>
      </c>
      <c r="F52" s="7"/>
      <c r="G52" s="15">
        <f t="shared" ref="G52:G58" si="5">F52-E52</f>
        <v>0</v>
      </c>
      <c r="H52" s="357" t="s">
        <v>697</v>
      </c>
      <c r="I52" s="7" t="s">
        <v>209</v>
      </c>
      <c r="J52" s="15">
        <f>-G52</f>
        <v>0</v>
      </c>
      <c r="K52" s="357" t="s">
        <v>817</v>
      </c>
      <c r="L52" s="7" t="s">
        <v>818</v>
      </c>
      <c r="M52" s="15">
        <f>-J52</f>
        <v>0</v>
      </c>
    </row>
    <row r="53" spans="3:14" ht="20.45" customHeight="1">
      <c r="D53" s="357" t="s">
        <v>820</v>
      </c>
      <c r="E53" s="7">
        <f>-'3.0'!I292</f>
        <v>0</v>
      </c>
      <c r="F53" s="7"/>
      <c r="G53" s="15">
        <f t="shared" si="5"/>
        <v>0</v>
      </c>
      <c r="H53" s="357" t="s">
        <v>697</v>
      </c>
      <c r="I53" s="7" t="s">
        <v>209</v>
      </c>
      <c r="J53" s="15">
        <f t="shared" ref="J53:J58" si="6">-G53</f>
        <v>0</v>
      </c>
      <c r="K53" s="357" t="s">
        <v>819</v>
      </c>
      <c r="L53" s="7" t="s">
        <v>820</v>
      </c>
      <c r="M53" s="15">
        <f t="shared" ref="M53:M58" si="7">-J53</f>
        <v>0</v>
      </c>
    </row>
    <row r="54" spans="3:14" ht="20.45" customHeight="1">
      <c r="D54" s="357" t="s">
        <v>822</v>
      </c>
      <c r="E54" s="7">
        <f>-'3.0'!I239</f>
        <v>0</v>
      </c>
      <c r="F54" s="7"/>
      <c r="G54" s="15">
        <f t="shared" si="5"/>
        <v>0</v>
      </c>
      <c r="H54" s="357" t="s">
        <v>697</v>
      </c>
      <c r="I54" s="7" t="s">
        <v>209</v>
      </c>
      <c r="J54" s="15">
        <f t="shared" si="6"/>
        <v>0</v>
      </c>
      <c r="K54" s="357" t="s">
        <v>821</v>
      </c>
      <c r="L54" s="7" t="s">
        <v>822</v>
      </c>
      <c r="M54" s="15">
        <f t="shared" si="7"/>
        <v>0</v>
      </c>
    </row>
    <row r="55" spans="3:14" ht="20.45" customHeight="1">
      <c r="D55" s="357" t="s">
        <v>715</v>
      </c>
      <c r="E55" s="7">
        <f>T_IS!W115</f>
        <v>0</v>
      </c>
      <c r="F55" s="7"/>
      <c r="G55" s="15">
        <f t="shared" si="5"/>
        <v>0</v>
      </c>
      <c r="H55" s="357" t="s">
        <v>697</v>
      </c>
      <c r="I55" s="7" t="s">
        <v>209</v>
      </c>
      <c r="J55" s="15">
        <f t="shared" si="6"/>
        <v>0</v>
      </c>
      <c r="K55" s="357" t="s">
        <v>714</v>
      </c>
      <c r="L55" s="7" t="s">
        <v>715</v>
      </c>
      <c r="M55" s="15">
        <f t="shared" si="7"/>
        <v>0</v>
      </c>
    </row>
    <row r="56" spans="3:14" ht="20.45" customHeight="1">
      <c r="D56" s="357" t="s">
        <v>717</v>
      </c>
      <c r="E56" s="7"/>
      <c r="F56" s="7"/>
      <c r="G56" s="15">
        <f t="shared" si="5"/>
        <v>0</v>
      </c>
      <c r="H56" s="357" t="s">
        <v>697</v>
      </c>
      <c r="I56" s="7" t="s">
        <v>209</v>
      </c>
      <c r="J56" s="15">
        <f t="shared" si="6"/>
        <v>0</v>
      </c>
      <c r="K56" s="357" t="s">
        <v>716</v>
      </c>
      <c r="L56" s="7" t="s">
        <v>717</v>
      </c>
      <c r="M56" s="15">
        <f t="shared" si="7"/>
        <v>0</v>
      </c>
    </row>
    <row r="57" spans="3:14" ht="20.45" customHeight="1">
      <c r="D57" s="357" t="s">
        <v>719</v>
      </c>
      <c r="E57" s="7">
        <f>-'1.0'!I25</f>
        <v>0</v>
      </c>
      <c r="F57" s="7"/>
      <c r="G57" s="15">
        <f t="shared" si="5"/>
        <v>0</v>
      </c>
      <c r="H57" s="357" t="s">
        <v>697</v>
      </c>
      <c r="I57" s="7" t="s">
        <v>209</v>
      </c>
      <c r="J57" s="15">
        <f t="shared" si="6"/>
        <v>0</v>
      </c>
      <c r="K57" s="357" t="s">
        <v>718</v>
      </c>
      <c r="L57" s="7" t="s">
        <v>719</v>
      </c>
      <c r="M57" s="15">
        <f t="shared" si="7"/>
        <v>0</v>
      </c>
    </row>
    <row r="58" spans="3:14" ht="20.45" customHeight="1" thickBot="1">
      <c r="D58" s="465"/>
      <c r="E58" s="16"/>
      <c r="F58" s="16"/>
      <c r="G58" s="17">
        <f t="shared" si="5"/>
        <v>0</v>
      </c>
      <c r="H58" s="357" t="s">
        <v>697</v>
      </c>
      <c r="I58" s="7" t="s">
        <v>209</v>
      </c>
      <c r="J58" s="15">
        <f t="shared" si="6"/>
        <v>0</v>
      </c>
      <c r="K58" s="465"/>
      <c r="L58" s="16"/>
      <c r="M58" s="15">
        <f t="shared" si="7"/>
        <v>0</v>
      </c>
    </row>
    <row r="59" spans="3:14" ht="20.45" customHeight="1" thickBot="1">
      <c r="D59" s="553"/>
      <c r="E59" s="554">
        <f>SUM(E52:E58)</f>
        <v>0</v>
      </c>
      <c r="F59" s="554">
        <f>SUM(F52:F58)</f>
        <v>0</v>
      </c>
      <c r="G59" s="554"/>
      <c r="H59" s="554"/>
      <c r="I59" s="554"/>
      <c r="J59" s="554"/>
      <c r="K59" s="554"/>
      <c r="L59" s="554"/>
      <c r="M59" s="555"/>
    </row>
    <row r="62" spans="3:14" s="4" customFormat="1" ht="20.45" customHeight="1">
      <c r="C62" s="4" t="s">
        <v>1496</v>
      </c>
    </row>
    <row r="63" spans="3:14" s="4" customFormat="1" ht="20.45" customHeight="1" thickBot="1">
      <c r="D63" s="4" t="s">
        <v>1512</v>
      </c>
    </row>
    <row r="64" spans="3:14" ht="20.45" customHeight="1">
      <c r="D64" s="556" t="s">
        <v>415</v>
      </c>
      <c r="E64" s="222" t="s">
        <v>393</v>
      </c>
      <c r="F64" s="222" t="s">
        <v>398</v>
      </c>
      <c r="G64" s="222" t="s">
        <v>1997</v>
      </c>
      <c r="H64" s="556"/>
      <c r="I64" s="222"/>
      <c r="J64" s="223"/>
      <c r="K64" s="222" t="s">
        <v>393</v>
      </c>
      <c r="L64" s="222" t="s">
        <v>1503</v>
      </c>
      <c r="M64" s="223" t="s">
        <v>1504</v>
      </c>
      <c r="N64" s="7"/>
    </row>
    <row r="65" spans="4:14" ht="20.45" customHeight="1">
      <c r="D65" s="345" t="s">
        <v>26</v>
      </c>
      <c r="E65" s="557">
        <v>111731</v>
      </c>
      <c r="F65" s="7">
        <v>-919969835</v>
      </c>
      <c r="G65" s="347">
        <f>SUMIF('3.0'!$D:$D,'CF.2'!E65,'3.0'!$H:$H)</f>
        <v>-463781254</v>
      </c>
      <c r="H65" s="345"/>
      <c r="I65" s="7"/>
      <c r="J65" s="347"/>
      <c r="K65" s="7" t="s">
        <v>906</v>
      </c>
      <c r="L65" s="7" t="s">
        <v>907</v>
      </c>
      <c r="M65" s="347">
        <f>F65-G65</f>
        <v>-456188581</v>
      </c>
      <c r="N65" s="7"/>
    </row>
    <row r="66" spans="4:14" ht="20.45" customHeight="1">
      <c r="D66" s="345" t="s">
        <v>24</v>
      </c>
      <c r="E66" s="557">
        <v>111711</v>
      </c>
      <c r="F66" s="7">
        <v>-57500000</v>
      </c>
      <c r="G66" s="347">
        <f>SUMIF('3.0'!$D:$D,'CF.2'!E66,'3.0'!$H:$H)</f>
        <v>-57500000</v>
      </c>
      <c r="H66" s="345"/>
      <c r="I66" s="7"/>
      <c r="J66" s="347"/>
      <c r="K66" s="7" t="s">
        <v>906</v>
      </c>
      <c r="L66" s="7" t="s">
        <v>907</v>
      </c>
      <c r="M66" s="347">
        <f>F66-G66</f>
        <v>0</v>
      </c>
      <c r="N66" s="7"/>
    </row>
    <row r="67" spans="4:14" ht="20.45" customHeight="1">
      <c r="D67" s="345" t="s">
        <v>33</v>
      </c>
      <c r="E67" s="557">
        <v>112113</v>
      </c>
      <c r="F67" s="7">
        <v>-30087098</v>
      </c>
      <c r="G67" s="347">
        <f>SUMIF('3.0'!$D:$D,'CF.2'!E67,'3.0'!$H:$H)</f>
        <v>-29826534</v>
      </c>
      <c r="H67" s="345"/>
      <c r="I67" s="7"/>
      <c r="J67" s="347"/>
      <c r="K67" s="7" t="s">
        <v>908</v>
      </c>
      <c r="L67" s="7" t="s">
        <v>909</v>
      </c>
      <c r="M67" s="347">
        <f t="shared" ref="M67:M75" si="8">F67-G67</f>
        <v>-260564</v>
      </c>
      <c r="N67" s="7"/>
    </row>
    <row r="68" spans="4:14" ht="20.45" customHeight="1">
      <c r="D68" s="345" t="s">
        <v>36</v>
      </c>
      <c r="E68" s="557">
        <v>112300</v>
      </c>
      <c r="F68" s="7">
        <v>-3933393</v>
      </c>
      <c r="G68" s="347">
        <f>SUMIF('3.0'!$D:$D,'CF.2'!E68,'3.0'!$H:$H)</f>
        <v>0</v>
      </c>
      <c r="H68" s="345"/>
      <c r="I68" s="7"/>
      <c r="J68" s="347"/>
      <c r="K68" s="7" t="s">
        <v>910</v>
      </c>
      <c r="L68" s="7" t="s">
        <v>911</v>
      </c>
      <c r="M68" s="347">
        <f t="shared" si="8"/>
        <v>-3933393</v>
      </c>
      <c r="N68" s="7"/>
    </row>
    <row r="69" spans="4:14" ht="20.45" customHeight="1">
      <c r="D69" s="345" t="s">
        <v>1998</v>
      </c>
      <c r="E69" s="557">
        <v>112302</v>
      </c>
      <c r="F69" s="7">
        <v>0</v>
      </c>
      <c r="G69" s="347">
        <f>SUMIF('3.0'!$D:$D,'CF.2'!E69,'3.0'!$H:$H)</f>
        <v>-12497588</v>
      </c>
      <c r="H69" s="345"/>
      <c r="I69" s="7"/>
      <c r="J69" s="347"/>
      <c r="K69" s="7" t="s">
        <v>910</v>
      </c>
      <c r="L69" s="7" t="s">
        <v>911</v>
      </c>
      <c r="M69" s="347">
        <f t="shared" si="8"/>
        <v>12497588</v>
      </c>
      <c r="N69" s="7"/>
    </row>
    <row r="70" spans="4:14" ht="20.45" customHeight="1">
      <c r="D70" s="345" t="s">
        <v>63</v>
      </c>
      <c r="E70" s="557">
        <v>112531</v>
      </c>
      <c r="F70" s="7">
        <v>0</v>
      </c>
      <c r="G70" s="347">
        <f>SUMIF('3.0'!$D:$D,'CF.2'!E70,'3.0'!$H:$H)</f>
        <v>0</v>
      </c>
      <c r="H70" s="345"/>
      <c r="I70" s="7"/>
      <c r="J70" s="347"/>
      <c r="K70" s="7" t="s">
        <v>912</v>
      </c>
      <c r="L70" s="7" t="s">
        <v>913</v>
      </c>
      <c r="M70" s="347">
        <f t="shared" si="8"/>
        <v>0</v>
      </c>
      <c r="N70" s="7"/>
    </row>
    <row r="71" spans="4:14" ht="20.45" customHeight="1">
      <c r="D71" s="345" t="s">
        <v>139</v>
      </c>
      <c r="E71" s="557">
        <v>211121</v>
      </c>
      <c r="F71" s="7">
        <v>919969835</v>
      </c>
      <c r="G71" s="347">
        <f>SUMIF('3.0'!$D:$D,'CF.2'!E71,'3.0'!$H:$H)</f>
        <v>463781254</v>
      </c>
      <c r="H71" s="345"/>
      <c r="I71" s="7"/>
      <c r="J71" s="347"/>
      <c r="K71" s="7" t="s">
        <v>942</v>
      </c>
      <c r="L71" s="7" t="s">
        <v>943</v>
      </c>
      <c r="M71" s="347">
        <f t="shared" si="8"/>
        <v>456188581</v>
      </c>
      <c r="N71" s="7"/>
    </row>
    <row r="72" spans="4:14" ht="20.45" customHeight="1">
      <c r="D72" s="345" t="s">
        <v>145</v>
      </c>
      <c r="E72" s="557">
        <v>213150</v>
      </c>
      <c r="F72" s="7">
        <v>87587098</v>
      </c>
      <c r="G72" s="347">
        <f>SUMIF('3.0'!$D:$D,'CF.2'!E72,'3.0'!$H:$H)</f>
        <v>87326534</v>
      </c>
      <c r="H72" s="345"/>
      <c r="I72" s="7"/>
      <c r="J72" s="347"/>
      <c r="K72" s="7" t="s">
        <v>950</v>
      </c>
      <c r="L72" s="7" t="s">
        <v>951</v>
      </c>
      <c r="M72" s="347">
        <f t="shared" si="8"/>
        <v>260564</v>
      </c>
      <c r="N72" s="7"/>
    </row>
    <row r="73" spans="4:14" ht="20.45" customHeight="1">
      <c r="D73" s="345" t="s">
        <v>151</v>
      </c>
      <c r="E73" s="557">
        <v>217200</v>
      </c>
      <c r="F73" s="7">
        <v>3933393</v>
      </c>
      <c r="G73" s="347">
        <f>SUMIF('3.0'!$D:$D,'CF.2'!E73,'3.0'!$H:$H)</f>
        <v>12497588</v>
      </c>
      <c r="H73" s="345"/>
      <c r="I73" s="7"/>
      <c r="J73" s="347"/>
      <c r="K73" s="7" t="s">
        <v>952</v>
      </c>
      <c r="L73" s="7" t="s">
        <v>953</v>
      </c>
      <c r="M73" s="347">
        <f t="shared" si="8"/>
        <v>-8564195</v>
      </c>
      <c r="N73" s="7"/>
    </row>
    <row r="74" spans="4:14" ht="20.45" customHeight="1">
      <c r="D74" s="345" t="s">
        <v>164</v>
      </c>
      <c r="E74" s="557">
        <v>214200</v>
      </c>
      <c r="F74" s="7">
        <v>0</v>
      </c>
      <c r="G74" s="347">
        <f>SUMIF('3.0'!$D:$D,'CF.2'!E74,'3.0'!$H:$H)</f>
        <v>0</v>
      </c>
      <c r="H74" s="345"/>
      <c r="I74" s="7"/>
      <c r="J74" s="347"/>
      <c r="K74" s="7" t="s">
        <v>944</v>
      </c>
      <c r="L74" s="7" t="s">
        <v>945</v>
      </c>
      <c r="M74" s="347">
        <f t="shared" si="8"/>
        <v>0</v>
      </c>
      <c r="N74" s="7"/>
    </row>
    <row r="75" spans="4:14" ht="20.45" customHeight="1" thickBot="1">
      <c r="D75" s="558" t="s">
        <v>209</v>
      </c>
      <c r="E75" s="559" t="s">
        <v>1357</v>
      </c>
      <c r="F75" s="370">
        <v>0</v>
      </c>
      <c r="G75" s="371">
        <f>SUMIF('3.0'!$D:$D,'CF.2'!E75,'3.0'!$H:$H)</f>
        <v>0</v>
      </c>
      <c r="H75" s="558"/>
      <c r="I75" s="370"/>
      <c r="J75" s="371"/>
      <c r="K75" s="370" t="s">
        <v>697</v>
      </c>
      <c r="L75" s="370" t="s">
        <v>209</v>
      </c>
      <c r="M75" s="371">
        <f t="shared" si="8"/>
        <v>0</v>
      </c>
      <c r="N75" s="7"/>
    </row>
    <row r="76" spans="4:14" ht="20.45" customHeight="1">
      <c r="D76" s="7"/>
      <c r="E76" s="557"/>
      <c r="F76" s="7"/>
      <c r="G76" s="7"/>
      <c r="H76" s="7"/>
      <c r="I76" s="7"/>
      <c r="J76" s="7"/>
      <c r="K76" s="7"/>
      <c r="L76" s="7"/>
      <c r="N76" s="7"/>
    </row>
    <row r="77" spans="4:14" s="4" customFormat="1" ht="20.45" customHeight="1" thickBot="1">
      <c r="D77" s="187" t="s">
        <v>1513</v>
      </c>
      <c r="E77" s="560"/>
      <c r="F77" s="187"/>
      <c r="G77" s="187"/>
      <c r="H77" s="187"/>
      <c r="I77" s="187"/>
      <c r="J77" s="187"/>
      <c r="K77" s="187"/>
      <c r="L77" s="187"/>
      <c r="M77" s="187"/>
      <c r="N77" s="187"/>
    </row>
    <row r="78" spans="4:14" ht="20.45" customHeight="1">
      <c r="D78" s="440" t="s">
        <v>415</v>
      </c>
      <c r="E78" s="441" t="s">
        <v>1500</v>
      </c>
      <c r="F78" s="441"/>
      <c r="G78" s="549" t="s">
        <v>1501</v>
      </c>
      <c r="H78" s="440" t="s">
        <v>393</v>
      </c>
      <c r="I78" s="441" t="s">
        <v>1503</v>
      </c>
      <c r="J78" s="549" t="s">
        <v>1504</v>
      </c>
      <c r="K78" s="440" t="s">
        <v>393</v>
      </c>
      <c r="L78" s="441" t="s">
        <v>1503</v>
      </c>
      <c r="M78" s="549" t="s">
        <v>1504</v>
      </c>
      <c r="N78" s="7"/>
    </row>
    <row r="79" spans="4:14" ht="20.45" customHeight="1">
      <c r="D79" s="357" t="s">
        <v>674</v>
      </c>
      <c r="E79" s="7">
        <f>-'3.0'!H271</f>
        <v>-8564195</v>
      </c>
      <c r="F79" s="7"/>
      <c r="G79" s="15">
        <f>F79-E79</f>
        <v>8564195</v>
      </c>
      <c r="H79" s="357" t="s">
        <v>697</v>
      </c>
      <c r="I79" s="7" t="s">
        <v>209</v>
      </c>
      <c r="J79" s="15">
        <f>-G79</f>
        <v>-8564195</v>
      </c>
      <c r="K79" s="357" t="s">
        <v>875</v>
      </c>
      <c r="L79" s="7" t="s">
        <v>674</v>
      </c>
      <c r="M79" s="15">
        <f>-J79</f>
        <v>8564195</v>
      </c>
      <c r="N79" s="7"/>
    </row>
    <row r="80" spans="4:14" ht="20.45" customHeight="1">
      <c r="D80" s="357" t="s">
        <v>682</v>
      </c>
      <c r="E80" s="7">
        <f>-'3.0'!H281</f>
        <v>9497071</v>
      </c>
      <c r="F80" s="7"/>
      <c r="G80" s="15">
        <f>F80-E80</f>
        <v>-9497071</v>
      </c>
      <c r="H80" s="357" t="s">
        <v>697</v>
      </c>
      <c r="I80" s="7" t="s">
        <v>209</v>
      </c>
      <c r="J80" s="15">
        <f>-G80</f>
        <v>9497071</v>
      </c>
      <c r="K80" s="357" t="s">
        <v>784</v>
      </c>
      <c r="L80" s="7" t="s">
        <v>682</v>
      </c>
      <c r="M80" s="15">
        <f>-J80</f>
        <v>-9497071</v>
      </c>
      <c r="N80" s="7"/>
    </row>
    <row r="81" spans="4:14" ht="20.45" customHeight="1">
      <c r="D81" s="116" t="s">
        <v>674</v>
      </c>
      <c r="E81" s="7">
        <f>-E79-E80</f>
        <v>-932876</v>
      </c>
      <c r="F81" s="7"/>
      <c r="G81" s="15">
        <f>F81-E81</f>
        <v>932876</v>
      </c>
      <c r="H81" s="357" t="s">
        <v>697</v>
      </c>
      <c r="I81" s="7" t="s">
        <v>209</v>
      </c>
      <c r="J81" s="15">
        <f>-G81</f>
        <v>-932876</v>
      </c>
      <c r="K81" s="357"/>
      <c r="L81" s="7" t="s">
        <v>2277</v>
      </c>
      <c r="M81" s="15">
        <f>-J81</f>
        <v>932876</v>
      </c>
      <c r="N81" s="7"/>
    </row>
    <row r="82" spans="4:14" ht="20.45" customHeight="1">
      <c r="D82" s="357"/>
      <c r="E82" s="7"/>
      <c r="F82" s="7"/>
      <c r="G82" s="15"/>
      <c r="H82" s="357"/>
      <c r="I82" s="7"/>
      <c r="J82" s="15"/>
      <c r="K82" s="357"/>
      <c r="L82" s="7"/>
      <c r="M82" s="15"/>
      <c r="N82" s="7"/>
    </row>
    <row r="83" spans="4:14" ht="20.45" customHeight="1">
      <c r="D83" s="357"/>
      <c r="E83" s="7"/>
      <c r="F83" s="7"/>
      <c r="G83" s="15">
        <f>F83-E83</f>
        <v>0</v>
      </c>
      <c r="H83" s="357"/>
      <c r="I83" s="7"/>
      <c r="J83" s="15"/>
      <c r="K83" s="357"/>
      <c r="L83" s="7"/>
      <c r="M83" s="15"/>
      <c r="N83" s="7"/>
    </row>
    <row r="84" spans="4:14" ht="20.45" customHeight="1">
      <c r="D84" s="357"/>
      <c r="E84" s="7"/>
      <c r="F84" s="7"/>
      <c r="G84" s="15">
        <f>F84-E84</f>
        <v>0</v>
      </c>
      <c r="H84" s="357"/>
      <c r="I84" s="7"/>
      <c r="J84" s="15"/>
      <c r="K84" s="357"/>
      <c r="L84" s="7"/>
      <c r="M84" s="15"/>
      <c r="N84" s="7"/>
    </row>
    <row r="85" spans="4:14" ht="20.45" customHeight="1" thickBot="1">
      <c r="D85" s="465"/>
      <c r="E85" s="16"/>
      <c r="F85" s="16"/>
      <c r="G85" s="17">
        <f>F85-E85</f>
        <v>0</v>
      </c>
      <c r="H85" s="465"/>
      <c r="I85" s="16"/>
      <c r="J85" s="17"/>
      <c r="K85" s="465"/>
      <c r="L85" s="16"/>
      <c r="M85" s="17"/>
      <c r="N85" s="7"/>
    </row>
    <row r="86" spans="4:14" ht="20.45" customHeight="1" thickBot="1">
      <c r="D86" s="553"/>
      <c r="E86" s="554">
        <f>SUM(E79:E85)</f>
        <v>0</v>
      </c>
      <c r="F86" s="554">
        <f>SUM(F79:F85)</f>
        <v>0</v>
      </c>
      <c r="G86" s="554"/>
      <c r="H86" s="554"/>
      <c r="I86" s="554"/>
      <c r="J86" s="554"/>
      <c r="K86" s="554"/>
      <c r="L86" s="554"/>
      <c r="M86" s="555"/>
      <c r="N86" s="7"/>
    </row>
    <row r="87" spans="4:14" ht="20.45" customHeight="1">
      <c r="D87" s="7"/>
      <c r="E87" s="557"/>
      <c r="F87" s="7"/>
      <c r="G87" s="7"/>
      <c r="H87" s="7"/>
      <c r="I87" s="7"/>
      <c r="J87" s="7"/>
      <c r="K87" s="7"/>
      <c r="L87" s="7"/>
      <c r="M87" s="5" t="b">
        <f>SUM(J79:J85)+SUM(M79:M85)=0</f>
        <v>1</v>
      </c>
      <c r="N87" s="7"/>
    </row>
    <row r="88" spans="4:14" s="4" customFormat="1" ht="20.45" customHeight="1" thickBot="1">
      <c r="D88" s="187" t="s">
        <v>1515</v>
      </c>
      <c r="E88" s="560"/>
      <c r="F88" s="187"/>
      <c r="G88" s="187"/>
      <c r="H88" s="187"/>
      <c r="I88" s="187"/>
      <c r="J88" s="187"/>
      <c r="K88" s="187"/>
      <c r="L88" s="187"/>
      <c r="M88" s="187"/>
      <c r="N88" s="187"/>
    </row>
    <row r="89" spans="4:14" ht="20.45" customHeight="1">
      <c r="D89" s="440" t="s">
        <v>1516</v>
      </c>
      <c r="E89" s="441" t="s">
        <v>1517</v>
      </c>
      <c r="F89" s="441" t="s">
        <v>1504</v>
      </c>
      <c r="G89" s="549" t="s">
        <v>1501</v>
      </c>
      <c r="H89" s="440" t="s">
        <v>393</v>
      </c>
      <c r="I89" s="441" t="s">
        <v>1503</v>
      </c>
      <c r="J89" s="549" t="s">
        <v>1504</v>
      </c>
      <c r="K89" s="440" t="s">
        <v>393</v>
      </c>
      <c r="L89" s="441" t="s">
        <v>1503</v>
      </c>
      <c r="M89" s="549" t="s">
        <v>1504</v>
      </c>
      <c r="N89" s="7"/>
    </row>
    <row r="90" spans="4:14" ht="20.45" customHeight="1">
      <c r="D90" s="357" t="s">
        <v>15</v>
      </c>
      <c r="E90" s="7" t="s">
        <v>1518</v>
      </c>
      <c r="F90" s="7">
        <v>0</v>
      </c>
      <c r="G90" s="15">
        <f t="shared" ref="G90:G97" si="9">-F90</f>
        <v>0</v>
      </c>
      <c r="H90" s="357" t="s">
        <v>1282</v>
      </c>
      <c r="I90" s="7" t="s">
        <v>1283</v>
      </c>
      <c r="J90" s="15">
        <f>-G90</f>
        <v>0</v>
      </c>
      <c r="K90" s="357" t="s">
        <v>1020</v>
      </c>
      <c r="L90" s="7" t="s">
        <v>1021</v>
      </c>
      <c r="M90" s="15">
        <f>G90</f>
        <v>0</v>
      </c>
      <c r="N90" s="7"/>
    </row>
    <row r="91" spans="4:14" ht="20.45" customHeight="1">
      <c r="D91" s="357" t="s">
        <v>1705</v>
      </c>
      <c r="E91" s="7" t="s">
        <v>1519</v>
      </c>
      <c r="F91" s="7">
        <f>'CF.1'!J183</f>
        <v>0</v>
      </c>
      <c r="G91" s="15">
        <f t="shared" si="9"/>
        <v>0</v>
      </c>
      <c r="H91" s="357" t="s">
        <v>1282</v>
      </c>
      <c r="I91" s="7" t="s">
        <v>1283</v>
      </c>
      <c r="J91" s="15">
        <f>-G91</f>
        <v>0</v>
      </c>
      <c r="K91" s="357" t="s">
        <v>1020</v>
      </c>
      <c r="L91" s="7" t="s">
        <v>1021</v>
      </c>
      <c r="M91" s="15">
        <f>G91</f>
        <v>0</v>
      </c>
      <c r="N91" s="7"/>
    </row>
    <row r="92" spans="4:14" ht="20.45" customHeight="1">
      <c r="D92" s="357" t="s">
        <v>15</v>
      </c>
      <c r="E92" s="7" t="s">
        <v>1519</v>
      </c>
      <c r="F92" s="7">
        <f>-'CF.1'!H242</f>
        <v>0</v>
      </c>
      <c r="G92" s="15">
        <f t="shared" si="9"/>
        <v>0</v>
      </c>
      <c r="H92" s="357" t="s">
        <v>1129</v>
      </c>
      <c r="I92" s="7" t="s">
        <v>1130</v>
      </c>
      <c r="J92" s="15">
        <f>-G92</f>
        <v>0</v>
      </c>
      <c r="K92" s="357" t="s">
        <v>1244</v>
      </c>
      <c r="L92" s="7" t="s">
        <v>1245</v>
      </c>
      <c r="M92" s="15">
        <f>G92</f>
        <v>0</v>
      </c>
      <c r="N92" s="7"/>
    </row>
    <row r="93" spans="4:14" ht="20.45" customHeight="1">
      <c r="D93" s="357" t="s">
        <v>15</v>
      </c>
      <c r="E93" s="7" t="s">
        <v>216</v>
      </c>
      <c r="F93" s="7"/>
      <c r="G93" s="15">
        <f t="shared" si="9"/>
        <v>0</v>
      </c>
      <c r="H93" s="357" t="s">
        <v>1129</v>
      </c>
      <c r="I93" s="7" t="s">
        <v>1130</v>
      </c>
      <c r="J93" s="15">
        <f>-G93</f>
        <v>0</v>
      </c>
      <c r="K93" s="357" t="s">
        <v>1244</v>
      </c>
      <c r="L93" s="7" t="s">
        <v>1245</v>
      </c>
      <c r="M93" s="15">
        <f>G93</f>
        <v>0</v>
      </c>
      <c r="N93" s="7"/>
    </row>
    <row r="94" spans="4:14" ht="20.45" customHeight="1">
      <c r="D94" s="357" t="s">
        <v>1705</v>
      </c>
      <c r="E94" s="7" t="s">
        <v>1519</v>
      </c>
      <c r="F94" s="7">
        <f>-'CF.1'!J242</f>
        <v>0</v>
      </c>
      <c r="G94" s="15">
        <f t="shared" si="9"/>
        <v>0</v>
      </c>
      <c r="H94" s="357" t="s">
        <v>1129</v>
      </c>
      <c r="I94" s="7" t="s">
        <v>1130</v>
      </c>
      <c r="J94" s="15">
        <f>-G94</f>
        <v>0</v>
      </c>
      <c r="K94" s="357" t="s">
        <v>1244</v>
      </c>
      <c r="L94" s="7" t="s">
        <v>1245</v>
      </c>
      <c r="M94" s="15">
        <f>G94</f>
        <v>0</v>
      </c>
      <c r="N94" s="7"/>
    </row>
    <row r="95" spans="4:14" ht="20.45" customHeight="1">
      <c r="D95" s="357"/>
      <c r="E95" s="7"/>
      <c r="F95" s="7"/>
      <c r="G95" s="15"/>
      <c r="H95" s="357" t="s">
        <v>1319</v>
      </c>
      <c r="I95" s="7" t="s">
        <v>1320</v>
      </c>
      <c r="J95" s="15">
        <f>-M95</f>
        <v>0</v>
      </c>
      <c r="K95" s="357" t="s">
        <v>1282</v>
      </c>
      <c r="L95" s="7" t="s">
        <v>1283</v>
      </c>
      <c r="M95" s="15"/>
      <c r="N95" s="7"/>
    </row>
    <row r="96" spans="4:14" ht="20.45" customHeight="1">
      <c r="D96" s="357"/>
      <c r="E96" s="7"/>
      <c r="F96" s="7"/>
      <c r="G96" s="15"/>
      <c r="H96" s="357" t="s">
        <v>1319</v>
      </c>
      <c r="I96" s="7" t="s">
        <v>1320</v>
      </c>
      <c r="J96" s="15">
        <f>-M96</f>
        <v>0</v>
      </c>
      <c r="K96" s="357" t="s">
        <v>1244</v>
      </c>
      <c r="L96" s="7" t="s">
        <v>1245</v>
      </c>
      <c r="M96" s="15"/>
      <c r="N96" s="7"/>
    </row>
    <row r="97" spans="3:14" ht="20.45" customHeight="1" thickBot="1">
      <c r="D97" s="465"/>
      <c r="E97" s="16"/>
      <c r="F97" s="16"/>
      <c r="G97" s="15">
        <f t="shared" si="9"/>
        <v>0</v>
      </c>
      <c r="H97" s="465" t="s">
        <v>906</v>
      </c>
      <c r="I97" s="16" t="s">
        <v>907</v>
      </c>
      <c r="J97" s="17"/>
      <c r="K97" s="465" t="s">
        <v>1244</v>
      </c>
      <c r="L97" s="16" t="s">
        <v>1245</v>
      </c>
      <c r="M97" s="15"/>
      <c r="N97" s="7" t="s">
        <v>1846</v>
      </c>
    </row>
    <row r="98" spans="3:14" ht="20.45" customHeight="1" thickBot="1">
      <c r="D98" s="553"/>
      <c r="E98" s="554">
        <f>SUM(E90:E97)</f>
        <v>0</v>
      </c>
      <c r="F98" s="554">
        <f>SUM(F90:F97)</f>
        <v>0</v>
      </c>
      <c r="G98" s="554"/>
      <c r="H98" s="554"/>
      <c r="I98" s="554"/>
      <c r="J98" s="554"/>
      <c r="K98" s="554"/>
      <c r="L98" s="554"/>
      <c r="M98" s="555"/>
      <c r="N98" s="7"/>
    </row>
    <row r="99" spans="3:14" ht="20.45" customHeight="1">
      <c r="D99" s="7"/>
      <c r="E99" s="557"/>
      <c r="F99" s="7"/>
      <c r="G99" s="7"/>
      <c r="H99" s="7"/>
      <c r="I99" s="7"/>
      <c r="J99" s="7"/>
      <c r="K99" s="7"/>
      <c r="L99" s="7"/>
      <c r="M99" s="5" t="b">
        <f>SUM(J90:J97)+SUM(M90:M97)=0</f>
        <v>1</v>
      </c>
      <c r="N99" s="7"/>
    </row>
    <row r="100" spans="3:14" s="4" customFormat="1" ht="20.45" customHeight="1" thickBot="1">
      <c r="C100" s="4" t="s">
        <v>1511</v>
      </c>
    </row>
    <row r="101" spans="3:14" ht="20.45" customHeight="1" thickBot="1">
      <c r="D101" s="440" t="s">
        <v>500</v>
      </c>
      <c r="E101" s="441" t="s">
        <v>1500</v>
      </c>
      <c r="F101" s="441"/>
      <c r="G101" s="549" t="s">
        <v>1501</v>
      </c>
      <c r="H101" s="440" t="s">
        <v>393</v>
      </c>
      <c r="I101" s="441" t="s">
        <v>1503</v>
      </c>
      <c r="J101" s="549" t="s">
        <v>1504</v>
      </c>
      <c r="K101" s="440" t="s">
        <v>393</v>
      </c>
      <c r="L101" s="441" t="s">
        <v>1503</v>
      </c>
      <c r="M101" s="549" t="s">
        <v>1504</v>
      </c>
    </row>
    <row r="102" spans="3:14" ht="20.45" customHeight="1">
      <c r="D102" s="357" t="s">
        <v>216</v>
      </c>
      <c r="E102" s="7">
        <f>-'7.0'!F35</f>
        <v>0</v>
      </c>
      <c r="F102" s="7"/>
      <c r="G102" s="7">
        <v>0</v>
      </c>
      <c r="H102" s="561" t="s">
        <v>1155</v>
      </c>
      <c r="I102" s="562" t="s">
        <v>1156</v>
      </c>
      <c r="J102" s="563">
        <f>-G102</f>
        <v>0</v>
      </c>
      <c r="K102" s="561" t="s">
        <v>1159</v>
      </c>
      <c r="L102" s="562" t="s">
        <v>1160</v>
      </c>
      <c r="M102" s="563">
        <f>-J102</f>
        <v>0</v>
      </c>
    </row>
    <row r="103" spans="3:14" ht="20.45" customHeight="1">
      <c r="D103" s="357" t="s">
        <v>216</v>
      </c>
      <c r="E103" s="7">
        <f>-'3.0'!H322</f>
        <v>0</v>
      </c>
      <c r="F103" s="7"/>
      <c r="G103" s="7">
        <v>0</v>
      </c>
      <c r="H103" s="345" t="s">
        <v>1155</v>
      </c>
      <c r="I103" s="7" t="s">
        <v>1156</v>
      </c>
      <c r="J103" s="347">
        <f>-G103</f>
        <v>0</v>
      </c>
      <c r="K103" s="345" t="s">
        <v>1264</v>
      </c>
      <c r="L103" s="7" t="s">
        <v>1265</v>
      </c>
      <c r="M103" s="347">
        <f t="shared" ref="M103:M108" si="10">-J103</f>
        <v>0</v>
      </c>
    </row>
    <row r="104" spans="3:14" ht="20.45" customHeight="1">
      <c r="D104" s="357" t="s">
        <v>216</v>
      </c>
      <c r="E104" s="7">
        <f>-'CF.1'!H240</f>
        <v>0</v>
      </c>
      <c r="F104" s="7"/>
      <c r="G104" s="7">
        <f>F104-E104</f>
        <v>0</v>
      </c>
      <c r="H104" s="345" t="s">
        <v>1125</v>
      </c>
      <c r="I104" s="7" t="s">
        <v>1126</v>
      </c>
      <c r="J104" s="347">
        <f>-G104</f>
        <v>0</v>
      </c>
      <c r="K104" s="345" t="s">
        <v>1264</v>
      </c>
      <c r="L104" s="7" t="s">
        <v>1265</v>
      </c>
      <c r="M104" s="347">
        <f t="shared" si="10"/>
        <v>0</v>
      </c>
    </row>
    <row r="105" spans="3:14" ht="20.45" customHeight="1">
      <c r="D105" s="357" t="s">
        <v>213</v>
      </c>
      <c r="E105" s="7"/>
      <c r="F105" s="7"/>
      <c r="G105" s="7">
        <f>F105-E105</f>
        <v>0</v>
      </c>
      <c r="H105" s="345" t="s">
        <v>855</v>
      </c>
      <c r="I105" s="7" t="s">
        <v>856</v>
      </c>
      <c r="J105" s="347"/>
      <c r="K105" s="345" t="s">
        <v>704</v>
      </c>
      <c r="L105" s="7" t="s">
        <v>1461</v>
      </c>
      <c r="M105" s="347"/>
    </row>
    <row r="106" spans="3:14" ht="20.45" customHeight="1">
      <c r="D106" s="357"/>
      <c r="E106" s="7"/>
      <c r="F106" s="7"/>
      <c r="G106" s="7">
        <f>F106-E106</f>
        <v>0</v>
      </c>
      <c r="H106" s="345" t="s">
        <v>817</v>
      </c>
      <c r="I106" s="7" t="s">
        <v>818</v>
      </c>
      <c r="J106" s="347">
        <f>T_IS!H115</f>
        <v>0</v>
      </c>
      <c r="K106" s="345" t="s">
        <v>697</v>
      </c>
      <c r="L106" s="7" t="s">
        <v>209</v>
      </c>
      <c r="M106" s="347">
        <f>-J105-M105-J106-J107</f>
        <v>0</v>
      </c>
    </row>
    <row r="107" spans="3:14" ht="20.45" customHeight="1">
      <c r="D107" s="357"/>
      <c r="E107" s="7">
        <f>-'1.0'!F54</f>
        <v>0</v>
      </c>
      <c r="F107" s="7"/>
      <c r="G107" s="7">
        <f>F107-E107</f>
        <v>0</v>
      </c>
      <c r="H107" s="345" t="s">
        <v>906</v>
      </c>
      <c r="I107" s="7" t="s">
        <v>907</v>
      </c>
      <c r="J107" s="347"/>
      <c r="K107" s="345"/>
      <c r="L107" s="7"/>
      <c r="M107" s="347"/>
    </row>
    <row r="108" spans="3:14" ht="20.45" customHeight="1" thickBot="1">
      <c r="D108" s="465"/>
      <c r="E108" s="16"/>
      <c r="F108" s="16"/>
      <c r="G108" s="16">
        <f>F108-E108</f>
        <v>0</v>
      </c>
      <c r="H108" s="558"/>
      <c r="I108" s="370"/>
      <c r="J108" s="371"/>
      <c r="K108" s="558"/>
      <c r="L108" s="370"/>
      <c r="M108" s="371">
        <f t="shared" si="10"/>
        <v>0</v>
      </c>
    </row>
    <row r="109" spans="3:14" ht="20.45" customHeight="1" thickBot="1">
      <c r="D109" s="553"/>
      <c r="E109" s="554">
        <f>SUM(E102:E108)</f>
        <v>0</v>
      </c>
      <c r="F109" s="554">
        <f>SUM(F102:F108)</f>
        <v>0</v>
      </c>
      <c r="G109" s="554"/>
      <c r="H109" s="16"/>
      <c r="I109" s="16"/>
      <c r="J109" s="16"/>
      <c r="K109" s="16"/>
      <c r="L109" s="16"/>
      <c r="M109" s="17"/>
    </row>
    <row r="110" spans="3:14" ht="20.45" customHeight="1">
      <c r="M110" s="5" t="b">
        <f>SUM(J102:J108)+SUM(M102:M108)=0</f>
        <v>1</v>
      </c>
    </row>
    <row r="112" spans="3:14" s="4" customFormat="1" ht="20.45" customHeight="1" thickBot="1">
      <c r="C112" s="4" t="s">
        <v>538</v>
      </c>
    </row>
    <row r="113" spans="4:13" ht="20.45" customHeight="1">
      <c r="D113" s="440" t="s">
        <v>415</v>
      </c>
      <c r="E113" s="441" t="s">
        <v>1500</v>
      </c>
      <c r="F113" s="441"/>
      <c r="G113" s="549" t="s">
        <v>1501</v>
      </c>
      <c r="H113" s="440" t="s">
        <v>393</v>
      </c>
      <c r="I113" s="441" t="s">
        <v>1503</v>
      </c>
      <c r="J113" s="549" t="s">
        <v>1504</v>
      </c>
      <c r="K113" s="440" t="s">
        <v>393</v>
      </c>
      <c r="L113" s="441" t="s">
        <v>1503</v>
      </c>
      <c r="M113" s="549" t="s">
        <v>1504</v>
      </c>
    </row>
    <row r="114" spans="4:13" ht="20.45" customHeight="1">
      <c r="D114" s="357" t="s">
        <v>302</v>
      </c>
      <c r="E114" s="7">
        <f>'6.0'!N14</f>
        <v>0</v>
      </c>
      <c r="F114" s="7"/>
      <c r="G114" s="15">
        <f>-E114</f>
        <v>0</v>
      </c>
      <c r="H114" s="357" t="s">
        <v>704</v>
      </c>
      <c r="I114" s="7" t="s">
        <v>1461</v>
      </c>
      <c r="J114" s="15">
        <f>-G114</f>
        <v>0</v>
      </c>
      <c r="K114" s="357" t="s">
        <v>906</v>
      </c>
      <c r="L114" s="7" t="s">
        <v>1467</v>
      </c>
      <c r="M114" s="15">
        <f>-J114</f>
        <v>0</v>
      </c>
    </row>
    <row r="115" spans="4:13" ht="20.45" customHeight="1">
      <c r="D115" s="357" t="s">
        <v>377</v>
      </c>
      <c r="E115" s="7">
        <f>T_IS!K118</f>
        <v>2042283617</v>
      </c>
      <c r="F115" s="7"/>
      <c r="G115" s="15">
        <f>-E115</f>
        <v>-2042283617</v>
      </c>
      <c r="H115" s="357" t="s">
        <v>697</v>
      </c>
      <c r="I115" s="7" t="s">
        <v>209</v>
      </c>
      <c r="J115" s="15">
        <f>-G115</f>
        <v>2042283617</v>
      </c>
      <c r="K115" s="357" t="s">
        <v>718</v>
      </c>
      <c r="L115" s="7" t="s">
        <v>719</v>
      </c>
      <c r="M115" s="15">
        <f t="shared" ref="M115:M120" si="11">-J115</f>
        <v>-2042283617</v>
      </c>
    </row>
    <row r="116" spans="4:13" ht="20.45" customHeight="1">
      <c r="D116" s="357" t="s">
        <v>1880</v>
      </c>
      <c r="E116" s="7">
        <f>'5.0'!N32</f>
        <v>0</v>
      </c>
      <c r="F116" s="7"/>
      <c r="G116" s="15">
        <f>F116-E116</f>
        <v>0</v>
      </c>
      <c r="H116" s="357" t="s">
        <v>1881</v>
      </c>
      <c r="I116" s="7" t="s">
        <v>1880</v>
      </c>
      <c r="J116" s="15">
        <f>-G116</f>
        <v>0</v>
      </c>
      <c r="K116" s="357" t="s">
        <v>697</v>
      </c>
      <c r="L116" s="7" t="s">
        <v>209</v>
      </c>
      <c r="M116" s="15">
        <f t="shared" si="11"/>
        <v>0</v>
      </c>
    </row>
    <row r="117" spans="4:13" ht="20.45" customHeight="1">
      <c r="D117" s="357" t="s">
        <v>1895</v>
      </c>
      <c r="E117" s="7">
        <f>'6.0'!N18</f>
        <v>282047680</v>
      </c>
      <c r="F117" s="7"/>
      <c r="G117" s="15">
        <f>F117-E117</f>
        <v>-282047680</v>
      </c>
      <c r="H117" s="357" t="s">
        <v>908</v>
      </c>
      <c r="I117" s="7" t="s">
        <v>909</v>
      </c>
      <c r="J117" s="15">
        <f>G117</f>
        <v>-282047680</v>
      </c>
      <c r="K117" s="357" t="s">
        <v>906</v>
      </c>
      <c r="L117" s="7" t="s">
        <v>907</v>
      </c>
      <c r="M117" s="15">
        <f t="shared" si="11"/>
        <v>282047680</v>
      </c>
    </row>
    <row r="118" spans="4:13" ht="20.45" customHeight="1">
      <c r="D118" s="357" t="s">
        <v>1896</v>
      </c>
      <c r="E118" s="7">
        <f>'6.0'!N20</f>
        <v>0</v>
      </c>
      <c r="F118" s="7"/>
      <c r="G118" s="15">
        <f>F118-E118</f>
        <v>0</v>
      </c>
      <c r="H118" s="357" t="s">
        <v>936</v>
      </c>
      <c r="I118" s="7" t="s">
        <v>937</v>
      </c>
      <c r="J118" s="15">
        <f>G118</f>
        <v>0</v>
      </c>
      <c r="K118" s="357" t="s">
        <v>906</v>
      </c>
      <c r="L118" s="7" t="s">
        <v>907</v>
      </c>
      <c r="M118" s="15">
        <f t="shared" si="11"/>
        <v>0</v>
      </c>
    </row>
    <row r="119" spans="4:13" ht="20.45" customHeight="1">
      <c r="D119" s="357"/>
      <c r="E119" s="7">
        <f>-'1.0'!F66</f>
        <v>0</v>
      </c>
      <c r="F119" s="7"/>
      <c r="G119" s="15">
        <f>F119-E119</f>
        <v>0</v>
      </c>
      <c r="H119" s="357"/>
      <c r="I119" s="7"/>
      <c r="J119" s="15"/>
      <c r="K119" s="357"/>
      <c r="L119" s="7"/>
      <c r="M119" s="15">
        <f t="shared" si="11"/>
        <v>0</v>
      </c>
    </row>
    <row r="120" spans="4:13" ht="20.45" customHeight="1" thickBot="1">
      <c r="D120" s="465"/>
      <c r="E120" s="16"/>
      <c r="F120" s="16"/>
      <c r="G120" s="17">
        <f>F120-E120</f>
        <v>0</v>
      </c>
      <c r="H120" s="357"/>
      <c r="I120" s="7"/>
      <c r="J120" s="15"/>
      <c r="K120" s="465"/>
      <c r="L120" s="16"/>
      <c r="M120" s="15">
        <f t="shared" si="11"/>
        <v>0</v>
      </c>
    </row>
    <row r="121" spans="4:13" ht="20.45" customHeight="1" thickBot="1">
      <c r="D121" s="553"/>
      <c r="E121" s="554">
        <f>SUM(E114:E120)</f>
        <v>2324331297</v>
      </c>
      <c r="F121" s="554">
        <f>SUM(F114:F120)</f>
        <v>0</v>
      </c>
      <c r="G121" s="554"/>
      <c r="H121" s="554"/>
      <c r="I121" s="554"/>
      <c r="J121" s="554"/>
      <c r="K121" s="554"/>
      <c r="L121" s="554"/>
      <c r="M121" s="555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rgb="FFFFC000"/>
  </sheetPr>
  <dimension ref="D1:AD81"/>
  <sheetViews>
    <sheetView showGridLines="0" zoomScale="80" zoomScaleNormal="80" workbookViewId="0">
      <pane xSplit="6" ySplit="4" topLeftCell="G5" activePane="bottomRight" state="frozen"/>
      <selection activeCell="J13" sqref="J13"/>
      <selection pane="topRight" activeCell="J13" sqref="J13"/>
      <selection pane="bottomLeft" activeCell="J13" sqref="J13"/>
      <selection pane="bottomRight" activeCell="G10" sqref="G10"/>
    </sheetView>
  </sheetViews>
  <sheetFormatPr defaultColWidth="9" defaultRowHeight="18" customHeight="1"/>
  <cols>
    <col min="1" max="3" width="2.375" style="3" customWidth="1"/>
    <col min="4" max="4" width="46.25" style="3" customWidth="1"/>
    <col min="5" max="5" width="31.375" style="3" customWidth="1"/>
    <col min="6" max="6" width="11.25" style="3" bestFit="1" customWidth="1"/>
    <col min="7" max="12" width="19.375" style="3" customWidth="1"/>
    <col min="13" max="13" width="9" style="3"/>
    <col min="14" max="14" width="14.125" style="3" hidden="1" customWidth="1"/>
    <col min="15" max="15" width="12.125" style="3" hidden="1" customWidth="1"/>
    <col min="16" max="16" width="32.875" style="3" hidden="1" customWidth="1"/>
    <col min="17" max="17" width="7.75" style="3" hidden="1" customWidth="1"/>
    <col min="18" max="18" width="16.5" style="3" hidden="1" customWidth="1"/>
    <col min="19" max="19" width="16.125" style="3" hidden="1" customWidth="1"/>
    <col min="20" max="20" width="16.5" style="3" hidden="1" customWidth="1"/>
    <col min="21" max="21" width="20" style="3" hidden="1" customWidth="1"/>
    <col min="22" max="22" width="0" style="3" hidden="1" customWidth="1"/>
    <col min="23" max="23" width="10.625" style="3" hidden="1" customWidth="1"/>
    <col min="24" max="24" width="28.625" style="341" hidden="1" customWidth="1"/>
    <col min="25" max="29" width="16" style="341" hidden="1" customWidth="1"/>
    <col min="30" max="30" width="9" style="341"/>
    <col min="31" max="16384" width="9" style="3"/>
  </cols>
  <sheetData>
    <row r="1" spans="4:30" ht="18" customHeight="1">
      <c r="X1" s="3"/>
    </row>
    <row r="2" spans="4:30" ht="18" customHeight="1" thickBot="1">
      <c r="X2" s="765" t="s">
        <v>2167</v>
      </c>
    </row>
    <row r="3" spans="4:30" s="2" customFormat="1" ht="18" customHeight="1">
      <c r="D3" s="299"/>
      <c r="E3" s="300"/>
      <c r="F3" s="300"/>
      <c r="G3" s="301" t="s">
        <v>2266</v>
      </c>
      <c r="H3" s="301"/>
      <c r="I3" s="893" t="s">
        <v>1992</v>
      </c>
      <c r="J3" s="894"/>
      <c r="K3" s="873"/>
      <c r="L3" s="873"/>
      <c r="P3" s="732"/>
      <c r="Q3" s="732"/>
      <c r="R3" s="732"/>
      <c r="S3" s="732"/>
      <c r="T3" s="732"/>
      <c r="U3" s="732"/>
      <c r="X3" s="765" t="s">
        <v>2168</v>
      </c>
      <c r="Y3" s="341"/>
      <c r="Z3" s="341"/>
      <c r="AA3" s="341"/>
      <c r="AB3" s="341"/>
      <c r="AC3" s="341"/>
      <c r="AD3" s="341"/>
    </row>
    <row r="4" spans="4:30" ht="18" customHeight="1">
      <c r="D4" s="302" t="s">
        <v>1713</v>
      </c>
      <c r="E4" s="303" t="s">
        <v>1392</v>
      </c>
      <c r="F4" s="303" t="s">
        <v>1714</v>
      </c>
      <c r="G4" s="304" t="s">
        <v>2103</v>
      </c>
      <c r="H4" s="304"/>
      <c r="I4" s="303" t="s">
        <v>2104</v>
      </c>
      <c r="J4" s="731"/>
      <c r="K4" s="872"/>
      <c r="L4" s="872"/>
      <c r="P4" s="766" t="s">
        <v>1530</v>
      </c>
      <c r="Q4" s="767" t="s">
        <v>1750</v>
      </c>
      <c r="R4" s="886" t="s">
        <v>2105</v>
      </c>
      <c r="S4" s="887"/>
      <c r="T4" s="886" t="s">
        <v>2106</v>
      </c>
      <c r="U4" s="888"/>
      <c r="W4" s="341"/>
      <c r="X4" s="768" t="s">
        <v>2146</v>
      </c>
      <c r="Y4" s="769" t="s">
        <v>1714</v>
      </c>
      <c r="Z4" s="889" t="s">
        <v>2147</v>
      </c>
      <c r="AA4" s="890"/>
      <c r="AB4" s="891" t="s">
        <v>2148</v>
      </c>
      <c r="AC4" s="892"/>
    </row>
    <row r="5" spans="4:30" ht="18" customHeight="1">
      <c r="D5" s="748"/>
      <c r="E5" s="305" t="s">
        <v>1715</v>
      </c>
      <c r="F5" s="305"/>
      <c r="G5" s="305"/>
      <c r="H5" s="305"/>
      <c r="I5" s="305"/>
      <c r="J5" s="306"/>
      <c r="K5" s="287"/>
      <c r="L5" s="287"/>
      <c r="M5" s="318"/>
      <c r="N5" s="318" t="s">
        <v>2169</v>
      </c>
      <c r="O5" s="318"/>
      <c r="P5" s="770" t="s">
        <v>1715</v>
      </c>
      <c r="Q5" s="771"/>
      <c r="R5" s="772"/>
      <c r="S5" s="772"/>
      <c r="T5" s="772"/>
      <c r="U5" s="773"/>
      <c r="W5" s="341"/>
      <c r="X5" s="774" t="s">
        <v>2149</v>
      </c>
      <c r="Y5" s="775"/>
      <c r="Z5" s="776"/>
      <c r="AA5" s="776"/>
      <c r="AB5" s="776"/>
      <c r="AC5" s="777"/>
    </row>
    <row r="6" spans="4:30" ht="18" customHeight="1">
      <c r="D6" s="749"/>
      <c r="E6" s="307" t="s">
        <v>1716</v>
      </c>
      <c r="F6" s="307"/>
      <c r="G6" s="307"/>
      <c r="H6" s="307">
        <f>SUM(G7:G12)</f>
        <v>146277936324</v>
      </c>
      <c r="I6" s="307"/>
      <c r="J6" s="308">
        <f>SUM(I7:I12)</f>
        <v>136268490827</v>
      </c>
      <c r="K6" s="292"/>
      <c r="L6" s="292"/>
      <c r="M6" s="318"/>
      <c r="N6" s="318" t="b">
        <f>AA6=J6</f>
        <v>1</v>
      </c>
      <c r="O6" s="318" t="b">
        <f>S6=SUM(R7:R12)</f>
        <v>1</v>
      </c>
      <c r="P6" s="770" t="s">
        <v>1716</v>
      </c>
      <c r="Q6" s="771"/>
      <c r="R6" s="772"/>
      <c r="S6" s="772">
        <f>H6</f>
        <v>146277936324</v>
      </c>
      <c r="T6" s="772"/>
      <c r="U6" s="778">
        <v>136268490827</v>
      </c>
      <c r="V6" s="3" t="b">
        <f>U6=SUM(T7:T12)</f>
        <v>1</v>
      </c>
      <c r="W6" s="341"/>
      <c r="X6" s="774" t="s">
        <v>1716</v>
      </c>
      <c r="Y6" s="775"/>
      <c r="Z6" s="776"/>
      <c r="AA6" s="779">
        <v>136268490827</v>
      </c>
      <c r="AB6" s="776"/>
      <c r="AC6" s="780">
        <v>150013247292</v>
      </c>
    </row>
    <row r="7" spans="4:30" ht="18" customHeight="1">
      <c r="D7" s="750" t="s">
        <v>1</v>
      </c>
      <c r="E7" s="751" t="s">
        <v>1</v>
      </c>
      <c r="F7" s="752" t="s">
        <v>1717</v>
      </c>
      <c r="G7" s="309">
        <f>SUMIF(T_BS!$E:$E,'BS(공)'!D7,T_BS!$W:$W)</f>
        <v>97271207132</v>
      </c>
      <c r="H7" s="309"/>
      <c r="I7" s="309">
        <v>88901392676</v>
      </c>
      <c r="J7" s="310"/>
      <c r="K7" s="874"/>
      <c r="L7" s="874"/>
      <c r="M7" s="318"/>
      <c r="N7" s="318" t="b">
        <f t="shared" ref="N7:N12" si="0">Z7=I7</f>
        <v>1</v>
      </c>
      <c r="O7" s="318"/>
      <c r="P7" s="770" t="s">
        <v>2072</v>
      </c>
      <c r="Q7" s="771">
        <v>5</v>
      </c>
      <c r="R7" s="772">
        <f t="shared" ref="R7:R12" si="1">G7</f>
        <v>97271207132</v>
      </c>
      <c r="S7" s="772"/>
      <c r="T7" s="772">
        <v>88901392676</v>
      </c>
      <c r="U7" s="781"/>
      <c r="W7" s="341"/>
      <c r="X7" s="774" t="s">
        <v>2072</v>
      </c>
      <c r="Y7" s="775" t="s">
        <v>1717</v>
      </c>
      <c r="Z7" s="779">
        <v>88901392676</v>
      </c>
      <c r="AA7" s="776"/>
      <c r="AB7" s="779">
        <v>95653360723</v>
      </c>
      <c r="AC7" s="777"/>
    </row>
    <row r="8" spans="4:30" ht="18" customHeight="1">
      <c r="D8" s="750" t="s">
        <v>1718</v>
      </c>
      <c r="E8" s="751" t="s">
        <v>23</v>
      </c>
      <c r="F8" s="752" t="s">
        <v>1719</v>
      </c>
      <c r="G8" s="309">
        <f>SUMIF(T_BS!$E:$E,'BS(공)'!D8,T_BS!$W:$W)</f>
        <v>40957768351</v>
      </c>
      <c r="H8" s="309"/>
      <c r="I8" s="309">
        <v>37314849276</v>
      </c>
      <c r="J8" s="310"/>
      <c r="K8" s="874"/>
      <c r="L8" s="874"/>
      <c r="M8" s="318"/>
      <c r="N8" s="318" t="b">
        <f t="shared" si="0"/>
        <v>1</v>
      </c>
      <c r="O8" s="318"/>
      <c r="P8" s="770" t="s">
        <v>2073</v>
      </c>
      <c r="Q8" s="771" t="s">
        <v>1760</v>
      </c>
      <c r="R8" s="772">
        <f t="shared" si="1"/>
        <v>40957768351</v>
      </c>
      <c r="S8" s="772"/>
      <c r="T8" s="772">
        <v>37314849276</v>
      </c>
      <c r="U8" s="781"/>
      <c r="W8" s="341"/>
      <c r="X8" s="774" t="s">
        <v>2073</v>
      </c>
      <c r="Y8" s="775" t="s">
        <v>2159</v>
      </c>
      <c r="Z8" s="779">
        <v>37314849276</v>
      </c>
      <c r="AA8" s="776"/>
      <c r="AB8" s="779">
        <v>27783916336</v>
      </c>
      <c r="AC8" s="777"/>
    </row>
    <row r="9" spans="4:30" ht="18" customHeight="1">
      <c r="D9" s="750" t="s">
        <v>38</v>
      </c>
      <c r="E9" s="751" t="s">
        <v>38</v>
      </c>
      <c r="F9" s="752" t="s">
        <v>1720</v>
      </c>
      <c r="G9" s="309">
        <f>SUMIF(T_BS!$E:$E,'BS(공)'!D9,T_BS!$W:$W)</f>
        <v>0</v>
      </c>
      <c r="H9" s="309"/>
      <c r="I9" s="309">
        <v>0</v>
      </c>
      <c r="J9" s="310"/>
      <c r="K9" s="874"/>
      <c r="L9" s="874"/>
      <c r="M9" s="318"/>
      <c r="N9" s="318" t="b">
        <f t="shared" si="0"/>
        <v>1</v>
      </c>
      <c r="O9" s="318"/>
      <c r="P9" s="770" t="s">
        <v>2074</v>
      </c>
      <c r="Q9" s="771">
        <v>5</v>
      </c>
      <c r="R9" s="772">
        <f t="shared" si="1"/>
        <v>0</v>
      </c>
      <c r="S9" s="772"/>
      <c r="T9" s="772" t="s">
        <v>612</v>
      </c>
      <c r="U9" s="781"/>
      <c r="W9" s="341"/>
      <c r="X9" s="774" t="s">
        <v>2074</v>
      </c>
      <c r="Y9" s="775" t="s">
        <v>1720</v>
      </c>
      <c r="Z9" s="776">
        <v>0</v>
      </c>
      <c r="AA9" s="776"/>
      <c r="AB9" s="779">
        <v>5366337088</v>
      </c>
      <c r="AC9" s="777"/>
    </row>
    <row r="10" spans="4:30" ht="18" customHeight="1">
      <c r="D10" s="750" t="s">
        <v>2</v>
      </c>
      <c r="E10" s="751" t="s">
        <v>2</v>
      </c>
      <c r="F10" s="752">
        <v>9</v>
      </c>
      <c r="G10" s="309">
        <f>SUMIF(T_BS!$E:$E,'BS(공)'!D10,T_BS!$W:$W)</f>
        <v>4636197058</v>
      </c>
      <c r="H10" s="309"/>
      <c r="I10" s="309">
        <v>7130214686</v>
      </c>
      <c r="J10" s="310"/>
      <c r="K10" s="874"/>
      <c r="L10" s="874"/>
      <c r="M10" s="318"/>
      <c r="N10" s="318" t="b">
        <f t="shared" si="0"/>
        <v>1</v>
      </c>
      <c r="O10" s="318"/>
      <c r="P10" s="770" t="s">
        <v>2075</v>
      </c>
      <c r="Q10" s="771">
        <v>6</v>
      </c>
      <c r="R10" s="772">
        <f t="shared" si="1"/>
        <v>4636197058</v>
      </c>
      <c r="S10" s="772"/>
      <c r="T10" s="772">
        <v>7130214686</v>
      </c>
      <c r="U10" s="781"/>
      <c r="W10" s="341"/>
      <c r="X10" s="774" t="s">
        <v>2075</v>
      </c>
      <c r="Y10" s="775">
        <v>9</v>
      </c>
      <c r="Z10" s="779">
        <v>7130214686</v>
      </c>
      <c r="AA10" s="776"/>
      <c r="AB10" s="779">
        <v>16457154007</v>
      </c>
      <c r="AC10" s="777"/>
    </row>
    <row r="11" spans="4:30" ht="18" customHeight="1">
      <c r="D11" s="750" t="s">
        <v>3</v>
      </c>
      <c r="E11" s="751" t="s">
        <v>3</v>
      </c>
      <c r="F11" s="752"/>
      <c r="G11" s="309">
        <f>SUMIF(T_BS!$E:$E,'BS(공)'!D11,T_BS!$W:$W)</f>
        <v>226315893</v>
      </c>
      <c r="H11" s="309"/>
      <c r="I11" s="309">
        <v>324941593</v>
      </c>
      <c r="J11" s="310"/>
      <c r="K11" s="874"/>
      <c r="L11" s="874"/>
      <c r="M11" s="318"/>
      <c r="N11" s="318" t="b">
        <f t="shared" si="0"/>
        <v>1</v>
      </c>
      <c r="O11" s="318"/>
      <c r="P11" s="770" t="s">
        <v>2076</v>
      </c>
      <c r="Q11" s="771"/>
      <c r="R11" s="772">
        <f t="shared" si="1"/>
        <v>226315893</v>
      </c>
      <c r="S11" s="772"/>
      <c r="T11" s="772">
        <v>324941593</v>
      </c>
      <c r="U11" s="781"/>
      <c r="W11" s="341"/>
      <c r="X11" s="774" t="s">
        <v>2076</v>
      </c>
      <c r="Y11" s="775"/>
      <c r="Z11" s="779">
        <v>324941593</v>
      </c>
      <c r="AA11" s="776"/>
      <c r="AB11" s="779">
        <v>123183784</v>
      </c>
      <c r="AC11" s="777"/>
    </row>
    <row r="12" spans="4:30" ht="18" customHeight="1">
      <c r="D12" s="750" t="s">
        <v>4</v>
      </c>
      <c r="E12" s="751" t="s">
        <v>4</v>
      </c>
      <c r="F12" s="752">
        <v>10</v>
      </c>
      <c r="G12" s="309">
        <f>SUMIF(T_BS!$E:$E,'BS(공)'!D12,T_BS!$W:$W)</f>
        <v>3186447890</v>
      </c>
      <c r="H12" s="309"/>
      <c r="I12" s="309">
        <v>2597092596</v>
      </c>
      <c r="J12" s="310"/>
      <c r="K12" s="874"/>
      <c r="L12" s="874"/>
      <c r="M12" s="318"/>
      <c r="N12" s="318" t="b">
        <f t="shared" si="0"/>
        <v>1</v>
      </c>
      <c r="O12" s="318"/>
      <c r="P12" s="770" t="s">
        <v>2077</v>
      </c>
      <c r="Q12" s="771">
        <v>7</v>
      </c>
      <c r="R12" s="772">
        <f t="shared" si="1"/>
        <v>3186447890</v>
      </c>
      <c r="S12" s="772"/>
      <c r="T12" s="772">
        <v>2597092596</v>
      </c>
      <c r="U12" s="781"/>
      <c r="W12" s="341"/>
      <c r="X12" s="774" t="s">
        <v>2077</v>
      </c>
      <c r="Y12" s="775">
        <v>10</v>
      </c>
      <c r="Z12" s="779">
        <v>2597092596</v>
      </c>
      <c r="AA12" s="776"/>
      <c r="AB12" s="779">
        <v>4629295354</v>
      </c>
      <c r="AC12" s="777"/>
    </row>
    <row r="13" spans="4:30" ht="18" customHeight="1">
      <c r="D13" s="749"/>
      <c r="E13" s="307" t="s">
        <v>1721</v>
      </c>
      <c r="F13" s="307"/>
      <c r="G13" s="307"/>
      <c r="H13" s="307">
        <f>SUM(G14:G19)</f>
        <v>26165503033</v>
      </c>
      <c r="I13" s="307"/>
      <c r="J13" s="308">
        <f>SUM(I14:I19)</f>
        <v>35317064027</v>
      </c>
      <c r="K13" s="292"/>
      <c r="L13" s="292"/>
      <c r="M13" s="318"/>
      <c r="N13" s="318" t="b">
        <f>AA13=J13</f>
        <v>1</v>
      </c>
      <c r="O13" s="318" t="b">
        <f>S13=SUM(R14:R19)</f>
        <v>1</v>
      </c>
      <c r="P13" s="770" t="s">
        <v>1721</v>
      </c>
      <c r="Q13" s="771"/>
      <c r="R13" s="772"/>
      <c r="S13" s="772">
        <f>H13</f>
        <v>26165503033</v>
      </c>
      <c r="T13" s="772"/>
      <c r="U13" s="778">
        <v>35317064027</v>
      </c>
      <c r="V13" s="3" t="b">
        <f>U13=SUM(T14:T19)</f>
        <v>1</v>
      </c>
      <c r="W13" s="341"/>
      <c r="X13" s="774" t="s">
        <v>1721</v>
      </c>
      <c r="Y13" s="775"/>
      <c r="Z13" s="776"/>
      <c r="AA13" s="779">
        <v>35317064027</v>
      </c>
      <c r="AB13" s="776"/>
      <c r="AC13" s="780">
        <v>54465274753</v>
      </c>
    </row>
    <row r="14" spans="4:30" ht="18" customHeight="1">
      <c r="D14" s="750" t="s">
        <v>1722</v>
      </c>
      <c r="E14" s="751" t="s">
        <v>23</v>
      </c>
      <c r="F14" s="752" t="s">
        <v>1720</v>
      </c>
      <c r="G14" s="309">
        <f>SUMIF(T_BS!$E:$E,'BS(공)'!D14,T_BS!$W:$W)</f>
        <v>1650396445</v>
      </c>
      <c r="H14" s="309"/>
      <c r="I14" s="309">
        <v>2143158640</v>
      </c>
      <c r="J14" s="310"/>
      <c r="K14" s="874"/>
      <c r="L14" s="874"/>
      <c r="M14" s="318"/>
      <c r="N14" s="318" t="b">
        <f>Z14=I14</f>
        <v>1</v>
      </c>
      <c r="O14" s="318"/>
      <c r="P14" s="770" t="s">
        <v>2073</v>
      </c>
      <c r="Q14" s="771" t="s">
        <v>1760</v>
      </c>
      <c r="R14" s="772">
        <f t="shared" ref="R14:R19" si="2">G14</f>
        <v>1650396445</v>
      </c>
      <c r="S14" s="772"/>
      <c r="T14" s="772">
        <v>2143158640</v>
      </c>
      <c r="U14" s="773"/>
      <c r="W14" s="341"/>
      <c r="X14" s="774" t="s">
        <v>2073</v>
      </c>
      <c r="Y14" s="775" t="s">
        <v>1720</v>
      </c>
      <c r="Z14" s="779">
        <v>2143158640</v>
      </c>
      <c r="AA14" s="776"/>
      <c r="AB14" s="779">
        <v>1654246176</v>
      </c>
      <c r="AC14" s="777"/>
    </row>
    <row r="15" spans="4:30" ht="18" customHeight="1">
      <c r="D15" s="750" t="s">
        <v>76</v>
      </c>
      <c r="E15" s="751" t="s">
        <v>76</v>
      </c>
      <c r="F15" s="752" t="s">
        <v>1720</v>
      </c>
      <c r="G15" s="309">
        <f>SUMIF(T_BS!$E:$E,'BS(공)'!D15,T_BS!$W:$W)</f>
        <v>0</v>
      </c>
      <c r="H15" s="309"/>
      <c r="I15" s="309">
        <v>996359683</v>
      </c>
      <c r="J15" s="310"/>
      <c r="K15" s="874"/>
      <c r="L15" s="874"/>
      <c r="M15" s="318"/>
      <c r="N15" s="318" t="b">
        <f>Z15=I15</f>
        <v>1</v>
      </c>
      <c r="O15" s="318"/>
      <c r="P15" s="770" t="s">
        <v>2078</v>
      </c>
      <c r="Q15" s="771">
        <v>5</v>
      </c>
      <c r="R15" s="772">
        <f t="shared" si="2"/>
        <v>0</v>
      </c>
      <c r="S15" s="772"/>
      <c r="T15" s="772">
        <v>996359683</v>
      </c>
      <c r="U15" s="773"/>
      <c r="W15" s="341"/>
      <c r="X15" s="774" t="s">
        <v>2078</v>
      </c>
      <c r="Y15" s="775" t="s">
        <v>1720</v>
      </c>
      <c r="Z15" s="779">
        <v>996359683</v>
      </c>
      <c r="AA15" s="776"/>
      <c r="AB15" s="779">
        <v>978026298</v>
      </c>
      <c r="AC15" s="777"/>
    </row>
    <row r="16" spans="4:30" ht="18" customHeight="1">
      <c r="D16" s="750" t="s">
        <v>83</v>
      </c>
      <c r="E16" s="751" t="s">
        <v>83</v>
      </c>
      <c r="F16" s="752">
        <v>11</v>
      </c>
      <c r="G16" s="309">
        <f>SUMIF(T_BS!$E:$E,'BS(공)'!D16,T_BS!$W:$W)</f>
        <v>0</v>
      </c>
      <c r="H16" s="309"/>
      <c r="I16" s="309" t="s">
        <v>612</v>
      </c>
      <c r="J16" s="310"/>
      <c r="K16" s="874"/>
      <c r="L16" s="874"/>
      <c r="M16" s="318"/>
      <c r="N16" s="318"/>
      <c r="O16" s="318"/>
      <c r="P16" s="770" t="s">
        <v>2079</v>
      </c>
      <c r="Q16" s="771">
        <v>8</v>
      </c>
      <c r="R16" s="772">
        <f t="shared" si="2"/>
        <v>0</v>
      </c>
      <c r="S16" s="772"/>
      <c r="T16" s="772" t="s">
        <v>612</v>
      </c>
      <c r="U16" s="773"/>
      <c r="W16" s="341"/>
      <c r="X16" s="774" t="s">
        <v>2080</v>
      </c>
      <c r="Y16" s="775" t="s">
        <v>2160</v>
      </c>
      <c r="Z16" s="779">
        <v>5328505320</v>
      </c>
      <c r="AA16" s="776"/>
      <c r="AB16" s="779">
        <v>2286255773</v>
      </c>
      <c r="AC16" s="777"/>
    </row>
    <row r="17" spans="4:29" ht="18" customHeight="1">
      <c r="D17" s="750" t="s">
        <v>5</v>
      </c>
      <c r="E17" s="751" t="s">
        <v>5</v>
      </c>
      <c r="F17" s="752" t="s">
        <v>1723</v>
      </c>
      <c r="G17" s="309">
        <f>SUMIF(T_BS!$E:$E,'BS(공)'!D17,T_BS!$W:$W)</f>
        <v>7654582035</v>
      </c>
      <c r="H17" s="309"/>
      <c r="I17" s="309">
        <v>5328505320</v>
      </c>
      <c r="J17" s="310"/>
      <c r="K17" s="874"/>
      <c r="L17" s="874"/>
      <c r="M17" s="318"/>
      <c r="N17" s="318" t="b">
        <f>Z16=I17</f>
        <v>1</v>
      </c>
      <c r="O17" s="318"/>
      <c r="P17" s="770" t="s">
        <v>2080</v>
      </c>
      <c r="Q17" s="771" t="s">
        <v>2081</v>
      </c>
      <c r="R17" s="772">
        <f t="shared" si="2"/>
        <v>7654582035</v>
      </c>
      <c r="S17" s="772"/>
      <c r="T17" s="772">
        <v>5328505320</v>
      </c>
      <c r="U17" s="773"/>
      <c r="W17" s="341"/>
      <c r="X17" s="774" t="s">
        <v>2082</v>
      </c>
      <c r="Y17" s="775" t="s">
        <v>2161</v>
      </c>
      <c r="Z17" s="779">
        <v>26598624855</v>
      </c>
      <c r="AA17" s="776"/>
      <c r="AB17" s="779">
        <v>49430124489</v>
      </c>
      <c r="AC17" s="777"/>
    </row>
    <row r="18" spans="4:29" ht="18" customHeight="1">
      <c r="D18" s="750" t="s">
        <v>6</v>
      </c>
      <c r="E18" s="751" t="s">
        <v>6</v>
      </c>
      <c r="F18" s="752" t="s">
        <v>1724</v>
      </c>
      <c r="G18" s="309">
        <f>SUMIF(T_BS!$E:$E,'BS(공)'!D18,T_BS!$W:$W)</f>
        <v>16860524553</v>
      </c>
      <c r="H18" s="309"/>
      <c r="I18" s="309">
        <v>26598624855</v>
      </c>
      <c r="J18" s="310"/>
      <c r="K18" s="874"/>
      <c r="L18" s="874"/>
      <c r="M18" s="318"/>
      <c r="N18" s="318" t="b">
        <f>Z17=I18</f>
        <v>1</v>
      </c>
      <c r="O18" s="318"/>
      <c r="P18" s="770" t="s">
        <v>2082</v>
      </c>
      <c r="Q18" s="771">
        <v>10</v>
      </c>
      <c r="R18" s="772">
        <f t="shared" si="2"/>
        <v>16860524553</v>
      </c>
      <c r="S18" s="772"/>
      <c r="T18" s="772">
        <v>26598624855</v>
      </c>
      <c r="U18" s="773"/>
      <c r="W18" s="341"/>
      <c r="X18" s="774" t="s">
        <v>2083</v>
      </c>
      <c r="Y18" s="775" t="s">
        <v>1725</v>
      </c>
      <c r="Z18" s="779">
        <v>250415529</v>
      </c>
      <c r="AA18" s="776"/>
      <c r="AB18" s="779">
        <v>116622017</v>
      </c>
      <c r="AC18" s="777"/>
    </row>
    <row r="19" spans="4:29" ht="18" customHeight="1">
      <c r="D19" s="750" t="s">
        <v>7</v>
      </c>
      <c r="E19" s="751" t="s">
        <v>7</v>
      </c>
      <c r="F19" s="752" t="s">
        <v>1725</v>
      </c>
      <c r="G19" s="309">
        <f>SUMIF(T_BS!$E:$E,'BS(공)'!D19,T_BS!$W:$W)</f>
        <v>0</v>
      </c>
      <c r="H19" s="309"/>
      <c r="I19" s="309">
        <v>250415529</v>
      </c>
      <c r="J19" s="310"/>
      <c r="K19" s="874"/>
      <c r="L19" s="874"/>
      <c r="M19" s="318"/>
      <c r="N19" s="318" t="b">
        <f>Z18=I19</f>
        <v>1</v>
      </c>
      <c r="O19" s="318"/>
      <c r="P19" s="770" t="s">
        <v>2083</v>
      </c>
      <c r="Q19" s="771">
        <v>7</v>
      </c>
      <c r="R19" s="772">
        <f t="shared" si="2"/>
        <v>0</v>
      </c>
      <c r="S19" s="772"/>
      <c r="T19" s="772">
        <v>250415529</v>
      </c>
      <c r="U19" s="773"/>
      <c r="W19" s="341"/>
      <c r="X19" s="774" t="s">
        <v>2150</v>
      </c>
      <c r="Y19" s="775"/>
      <c r="Z19" s="776"/>
      <c r="AA19" s="779">
        <v>171585554854</v>
      </c>
      <c r="AB19" s="776"/>
      <c r="AC19" s="780">
        <v>204478522045</v>
      </c>
    </row>
    <row r="20" spans="4:29" ht="18" customHeight="1">
      <c r="D20" s="748"/>
      <c r="E20" s="305" t="s">
        <v>1726</v>
      </c>
      <c r="F20" s="305"/>
      <c r="G20" s="305"/>
      <c r="H20" s="305">
        <f>SUM(H6,H13)</f>
        <v>172443439357</v>
      </c>
      <c r="I20" s="305"/>
      <c r="J20" s="306">
        <f>SUM(J6,J13)</f>
        <v>171585554854</v>
      </c>
      <c r="K20" s="287"/>
      <c r="L20" s="287"/>
      <c r="M20" s="318"/>
      <c r="N20" s="318" t="b">
        <f>AA19=J20</f>
        <v>1</v>
      </c>
      <c r="O20" s="318" t="b">
        <f>S20=SUM(S13,S6)</f>
        <v>1</v>
      </c>
      <c r="P20" s="770" t="s">
        <v>1726</v>
      </c>
      <c r="Q20" s="771"/>
      <c r="R20" s="772"/>
      <c r="S20" s="772">
        <f>H20</f>
        <v>172443439357</v>
      </c>
      <c r="T20" s="772"/>
      <c r="U20" s="778">
        <v>171585554854</v>
      </c>
      <c r="V20" s="3" t="b">
        <f>U20=SUM(U13,U6)</f>
        <v>1</v>
      </c>
      <c r="W20" s="341"/>
      <c r="X20" s="774" t="s">
        <v>2151</v>
      </c>
      <c r="Y20" s="775"/>
      <c r="Z20" s="776"/>
      <c r="AA20" s="776"/>
      <c r="AB20" s="776"/>
      <c r="AC20" s="777"/>
    </row>
    <row r="21" spans="4:29" ht="18" customHeight="1">
      <c r="D21" s="748"/>
      <c r="E21" s="305" t="s">
        <v>1727</v>
      </c>
      <c r="F21" s="305"/>
      <c r="G21" s="305"/>
      <c r="H21" s="305"/>
      <c r="I21" s="305"/>
      <c r="J21" s="306"/>
      <c r="K21" s="287"/>
      <c r="L21" s="287"/>
      <c r="M21" s="318"/>
      <c r="N21" s="318"/>
      <c r="O21" s="318"/>
      <c r="P21" s="770" t="s">
        <v>1727</v>
      </c>
      <c r="Q21" s="771"/>
      <c r="R21" s="772"/>
      <c r="S21" s="772"/>
      <c r="T21" s="772"/>
      <c r="U21" s="773"/>
      <c r="W21" s="341"/>
      <c r="X21" s="774" t="s">
        <v>1728</v>
      </c>
      <c r="Y21" s="775"/>
      <c r="Z21" s="776"/>
      <c r="AA21" s="779">
        <v>49775319297</v>
      </c>
      <c r="AB21" s="776"/>
      <c r="AC21" s="780">
        <v>41956229192</v>
      </c>
    </row>
    <row r="22" spans="4:29" ht="18" customHeight="1">
      <c r="D22" s="749"/>
      <c r="E22" s="307" t="s">
        <v>1728</v>
      </c>
      <c r="F22" s="307"/>
      <c r="G22" s="307"/>
      <c r="H22" s="307">
        <f>SUM(G23:G27)</f>
        <v>72762462534</v>
      </c>
      <c r="I22" s="307"/>
      <c r="J22" s="308">
        <f>SUM(I23:I27)</f>
        <v>49775319297</v>
      </c>
      <c r="K22" s="292"/>
      <c r="L22" s="292"/>
      <c r="M22" s="318"/>
      <c r="N22" s="318" t="b">
        <f>AA21=J22</f>
        <v>1</v>
      </c>
      <c r="O22" s="318" t="b">
        <f>S22=SUM(R23:R27)</f>
        <v>1</v>
      </c>
      <c r="P22" s="770" t="s">
        <v>1728</v>
      </c>
      <c r="Q22" s="771"/>
      <c r="R22" s="772"/>
      <c r="S22" s="772">
        <f>H22</f>
        <v>72762462534</v>
      </c>
      <c r="T22" s="772"/>
      <c r="U22" s="778">
        <v>49775319297</v>
      </c>
      <c r="V22" s="3" t="b">
        <f>U22=SUM(T23:T27)</f>
        <v>1</v>
      </c>
      <c r="W22" s="341"/>
      <c r="X22" s="774" t="s">
        <v>2084</v>
      </c>
      <c r="Y22" s="775" t="s">
        <v>2162</v>
      </c>
      <c r="Z22" s="779">
        <v>36253305936</v>
      </c>
      <c r="AA22" s="776"/>
      <c r="AB22" s="779">
        <v>22557298691</v>
      </c>
      <c r="AC22" s="777"/>
    </row>
    <row r="23" spans="4:29" ht="18" customHeight="1">
      <c r="D23" s="750" t="s">
        <v>137</v>
      </c>
      <c r="E23" s="751" t="s">
        <v>137</v>
      </c>
      <c r="F23" s="752" t="s">
        <v>1729</v>
      </c>
      <c r="G23" s="309">
        <f>SUMIF(T_BS!$E:$E,'BS(공)'!D23,T_BS!$W:$W)</f>
        <v>60933090739</v>
      </c>
      <c r="H23" s="309"/>
      <c r="I23" s="309">
        <v>36253305936</v>
      </c>
      <c r="J23" s="310"/>
      <c r="K23" s="874"/>
      <c r="L23" s="874"/>
      <c r="M23" s="318"/>
      <c r="N23" s="318" t="b">
        <f>Z22=I23</f>
        <v>1</v>
      </c>
      <c r="O23" s="318"/>
      <c r="P23" s="770" t="s">
        <v>2084</v>
      </c>
      <c r="Q23" s="771" t="s">
        <v>2085</v>
      </c>
      <c r="R23" s="772">
        <f>G23</f>
        <v>60933090739</v>
      </c>
      <c r="S23" s="772"/>
      <c r="T23" s="772">
        <v>36253305936</v>
      </c>
      <c r="U23" s="773"/>
      <c r="W23" s="341"/>
      <c r="X23" s="774" t="s">
        <v>2086</v>
      </c>
      <c r="Y23" s="775" t="s">
        <v>2163</v>
      </c>
      <c r="Z23" s="776">
        <v>0</v>
      </c>
      <c r="AA23" s="776"/>
      <c r="AB23" s="779">
        <v>5084665142</v>
      </c>
      <c r="AC23" s="777"/>
    </row>
    <row r="24" spans="4:29" ht="18" customHeight="1">
      <c r="D24" s="750" t="s">
        <v>156</v>
      </c>
      <c r="E24" s="751" t="s">
        <v>156</v>
      </c>
      <c r="F24" s="752" t="s">
        <v>1730</v>
      </c>
      <c r="G24" s="309">
        <f>SUMIF(T_BS!$E:$E,'BS(공)'!D24,T_BS!$W:$W)</f>
        <v>0</v>
      </c>
      <c r="H24" s="309"/>
      <c r="I24" s="309" t="s">
        <v>612</v>
      </c>
      <c r="J24" s="310"/>
      <c r="K24" s="874"/>
      <c r="L24" s="874"/>
      <c r="M24" s="318"/>
      <c r="N24" s="318"/>
      <c r="O24" s="318"/>
      <c r="P24" s="770" t="s">
        <v>2086</v>
      </c>
      <c r="Q24" s="771" t="s">
        <v>2087</v>
      </c>
      <c r="R24" s="772">
        <f>G24</f>
        <v>0</v>
      </c>
      <c r="S24" s="772"/>
      <c r="T24" s="772" t="s">
        <v>612</v>
      </c>
      <c r="U24" s="773"/>
      <c r="W24" s="341"/>
      <c r="X24" s="774" t="s">
        <v>2088</v>
      </c>
      <c r="Y24" s="775" t="s">
        <v>2164</v>
      </c>
      <c r="Z24" s="779">
        <v>10909561538</v>
      </c>
      <c r="AA24" s="776"/>
      <c r="AB24" s="779">
        <v>13914830289</v>
      </c>
      <c r="AC24" s="777"/>
    </row>
    <row r="25" spans="4:29" ht="18" customHeight="1">
      <c r="D25" s="750" t="s">
        <v>162</v>
      </c>
      <c r="E25" s="751" t="s">
        <v>162</v>
      </c>
      <c r="F25" s="752" t="s">
        <v>1731</v>
      </c>
      <c r="G25" s="309">
        <f>SUMIF(T_BS!$E:$E,'BS(공)'!D25,T_BS!$W:$W)</f>
        <v>9194493551</v>
      </c>
      <c r="H25" s="309"/>
      <c r="I25" s="309">
        <v>10909561538</v>
      </c>
      <c r="J25" s="310"/>
      <c r="K25" s="874"/>
      <c r="L25" s="874"/>
      <c r="M25" s="318"/>
      <c r="N25" s="318" t="b">
        <f>Z24=I25</f>
        <v>1</v>
      </c>
      <c r="O25" s="318"/>
      <c r="P25" s="770" t="s">
        <v>2088</v>
      </c>
      <c r="Q25" s="771">
        <v>12</v>
      </c>
      <c r="R25" s="772">
        <f>G25</f>
        <v>9194493551</v>
      </c>
      <c r="S25" s="772"/>
      <c r="T25" s="772">
        <v>10909561538</v>
      </c>
      <c r="U25" s="773"/>
      <c r="W25" s="341"/>
      <c r="X25" s="774" t="s">
        <v>2090</v>
      </c>
      <c r="Y25" s="775" t="s">
        <v>2165</v>
      </c>
      <c r="Z25" s="779">
        <v>2550691866</v>
      </c>
      <c r="AA25" s="776"/>
      <c r="AB25" s="776">
        <v>0</v>
      </c>
      <c r="AC25" s="777"/>
    </row>
    <row r="26" spans="4:29" ht="18" customHeight="1">
      <c r="D26" s="750" t="s">
        <v>1732</v>
      </c>
      <c r="E26" s="751" t="s">
        <v>1733</v>
      </c>
      <c r="F26" s="752"/>
      <c r="G26" s="309">
        <f>SUMIF(T_BS!$E:$E,'BS(공)'!D26,T_BS!$W:$W)</f>
        <v>2631820890</v>
      </c>
      <c r="H26" s="309"/>
      <c r="I26" s="309">
        <v>2550691866</v>
      </c>
      <c r="J26" s="310"/>
      <c r="K26" s="874"/>
      <c r="L26" s="874"/>
      <c r="M26" s="318"/>
      <c r="N26" s="318" t="b">
        <f>Z25=I26</f>
        <v>1</v>
      </c>
      <c r="O26" s="318"/>
      <c r="P26" s="770" t="s">
        <v>2089</v>
      </c>
      <c r="Q26" s="771"/>
      <c r="R26" s="772">
        <f>G27</f>
        <v>3057354</v>
      </c>
      <c r="S26" s="772"/>
      <c r="T26" s="772">
        <v>61759957</v>
      </c>
      <c r="U26" s="773"/>
      <c r="W26" s="341"/>
      <c r="X26" s="774" t="s">
        <v>2089</v>
      </c>
      <c r="Y26" s="775"/>
      <c r="Z26" s="779">
        <v>61759957</v>
      </c>
      <c r="AA26" s="776"/>
      <c r="AB26" s="779">
        <v>399435070</v>
      </c>
      <c r="AC26" s="777"/>
    </row>
    <row r="27" spans="4:29" ht="18" customHeight="1">
      <c r="D27" s="750" t="s">
        <v>1709</v>
      </c>
      <c r="E27" s="751" t="s">
        <v>1709</v>
      </c>
      <c r="F27" s="752"/>
      <c r="G27" s="309">
        <f>SUMIF(T_BS!$E:$E,'BS(공)'!D27,T_BS!$W:$W)</f>
        <v>3057354</v>
      </c>
      <c r="H27" s="309"/>
      <c r="I27" s="309">
        <v>61759957</v>
      </c>
      <c r="J27" s="310"/>
      <c r="K27" s="874"/>
      <c r="L27" s="874"/>
      <c r="M27" s="318"/>
      <c r="N27" s="318" t="b">
        <f>Z26=I27</f>
        <v>1</v>
      </c>
      <c r="O27" s="318"/>
      <c r="P27" s="770" t="s">
        <v>2090</v>
      </c>
      <c r="Q27" s="771" t="s">
        <v>2091</v>
      </c>
      <c r="R27" s="772">
        <f>G26</f>
        <v>2631820890</v>
      </c>
      <c r="S27" s="772"/>
      <c r="T27" s="772">
        <v>2550691866</v>
      </c>
      <c r="U27" s="773"/>
      <c r="W27" s="341"/>
      <c r="X27" s="774" t="s">
        <v>1734</v>
      </c>
      <c r="Y27" s="775"/>
      <c r="Z27" s="776"/>
      <c r="AA27" s="779">
        <v>3893195718</v>
      </c>
      <c r="AB27" s="776"/>
      <c r="AC27" s="780">
        <v>2663481524</v>
      </c>
    </row>
    <row r="28" spans="4:29" ht="18" customHeight="1">
      <c r="D28" s="749"/>
      <c r="E28" s="307" t="s">
        <v>1734</v>
      </c>
      <c r="F28" s="307"/>
      <c r="G28" s="307"/>
      <c r="H28" s="307">
        <f>SUM(G29:G34)</f>
        <v>3879577855</v>
      </c>
      <c r="I28" s="307"/>
      <c r="J28" s="308">
        <f>SUM(I29:I34)</f>
        <v>3893195718</v>
      </c>
      <c r="K28" s="292"/>
      <c r="L28" s="292"/>
      <c r="M28" s="318"/>
      <c r="N28" s="318" t="b">
        <f>AA27=J28</f>
        <v>1</v>
      </c>
      <c r="O28" s="318" t="b">
        <f>S28=SUM(R29:R33)</f>
        <v>1</v>
      </c>
      <c r="P28" s="770" t="s">
        <v>1734</v>
      </c>
      <c r="Q28" s="771"/>
      <c r="R28" s="772"/>
      <c r="S28" s="772">
        <f>H28</f>
        <v>3879577855</v>
      </c>
      <c r="T28" s="772"/>
      <c r="U28" s="778">
        <v>3893195718</v>
      </c>
      <c r="V28" s="3" t="b">
        <f>U28=SUM(T29:T33)</f>
        <v>1</v>
      </c>
      <c r="W28" s="341"/>
      <c r="X28" s="774" t="s">
        <v>2084</v>
      </c>
      <c r="Y28" s="775" t="s">
        <v>2166</v>
      </c>
      <c r="Z28" s="779">
        <v>11500000</v>
      </c>
      <c r="AA28" s="776"/>
      <c r="AB28" s="776">
        <v>0</v>
      </c>
      <c r="AC28" s="777"/>
    </row>
    <row r="29" spans="4:29" ht="18" customHeight="1">
      <c r="D29" s="750" t="s">
        <v>1592</v>
      </c>
      <c r="E29" s="751" t="s">
        <v>137</v>
      </c>
      <c r="F29" s="752" t="s">
        <v>1730</v>
      </c>
      <c r="G29" s="309">
        <f>SUMIF(T_BS!$E:$E,'BS(공)'!D29,T_BS!$W:$W)</f>
        <v>222809200</v>
      </c>
      <c r="H29" s="309"/>
      <c r="I29" s="309">
        <v>11500000</v>
      </c>
      <c r="J29" s="310"/>
      <c r="K29" s="874"/>
      <c r="L29" s="874"/>
      <c r="M29" s="318"/>
      <c r="N29" s="318" t="b">
        <f>Z28=I29</f>
        <v>1</v>
      </c>
      <c r="O29" s="318"/>
      <c r="P29" s="770" t="s">
        <v>2107</v>
      </c>
      <c r="Q29" s="771"/>
      <c r="R29" s="772">
        <f>G29</f>
        <v>222809200</v>
      </c>
      <c r="S29" s="772"/>
      <c r="T29" s="772">
        <v>11500000</v>
      </c>
      <c r="U29" s="773"/>
      <c r="W29" s="341"/>
      <c r="X29" s="774" t="s">
        <v>2092</v>
      </c>
      <c r="Y29" s="775">
        <v>16</v>
      </c>
      <c r="Z29" s="779">
        <v>1215669271</v>
      </c>
      <c r="AA29" s="776"/>
      <c r="AB29" s="779">
        <v>553536216</v>
      </c>
      <c r="AC29" s="777"/>
    </row>
    <row r="30" spans="4:29" ht="18" customHeight="1">
      <c r="D30" s="750" t="s">
        <v>1735</v>
      </c>
      <c r="E30" s="751" t="s">
        <v>1735</v>
      </c>
      <c r="F30" s="752" t="s">
        <v>1730</v>
      </c>
      <c r="G30" s="309">
        <f>SUMIF(T_BS!$E:$E,'BS(공)'!D30,T_BS!$W:$W)</f>
        <v>0</v>
      </c>
      <c r="H30" s="309"/>
      <c r="I30" s="309">
        <v>0</v>
      </c>
      <c r="J30" s="310"/>
      <c r="K30" s="874"/>
      <c r="L30" s="874"/>
      <c r="M30" s="318"/>
      <c r="N30" s="318"/>
      <c r="O30" s="318"/>
      <c r="P30" s="770" t="s">
        <v>2092</v>
      </c>
      <c r="Q30" s="771">
        <v>14</v>
      </c>
      <c r="R30" s="772">
        <f>G31</f>
        <v>822730454</v>
      </c>
      <c r="S30" s="772"/>
      <c r="T30" s="772">
        <v>1215669271</v>
      </c>
      <c r="U30" s="773"/>
      <c r="W30" s="341"/>
      <c r="X30" s="774" t="s">
        <v>2093</v>
      </c>
      <c r="Y30" s="775">
        <v>14</v>
      </c>
      <c r="Z30" s="779">
        <v>118066714</v>
      </c>
      <c r="AA30" s="776"/>
      <c r="AB30" s="779">
        <v>114807149</v>
      </c>
      <c r="AC30" s="777"/>
    </row>
    <row r="31" spans="4:29" ht="18" customHeight="1">
      <c r="D31" s="750" t="s">
        <v>184</v>
      </c>
      <c r="E31" s="751" t="s">
        <v>184</v>
      </c>
      <c r="F31" s="752">
        <v>17</v>
      </c>
      <c r="G31" s="309">
        <f>SUMIF(T_BS!$E:$E,'BS(공)'!D31,T_BS!$W:$W)</f>
        <v>822730454</v>
      </c>
      <c r="H31" s="309"/>
      <c r="I31" s="309">
        <v>1215669271</v>
      </c>
      <c r="J31" s="310"/>
      <c r="K31" s="874"/>
      <c r="L31" s="874"/>
      <c r="M31" s="318"/>
      <c r="N31" s="318" t="b">
        <f>Z29=I31</f>
        <v>1</v>
      </c>
      <c r="O31" s="318"/>
      <c r="P31" s="770" t="s">
        <v>2093</v>
      </c>
      <c r="Q31" s="771">
        <v>12</v>
      </c>
      <c r="R31" s="772">
        <f>G32</f>
        <v>118883200</v>
      </c>
      <c r="S31" s="772"/>
      <c r="T31" s="772">
        <v>118066714</v>
      </c>
      <c r="U31" s="773"/>
      <c r="W31" s="341"/>
      <c r="X31" s="774" t="s">
        <v>2152</v>
      </c>
      <c r="Y31" s="775" t="s">
        <v>2165</v>
      </c>
      <c r="Z31" s="779">
        <v>695426099</v>
      </c>
      <c r="AA31" s="776"/>
      <c r="AB31" s="776">
        <v>0</v>
      </c>
      <c r="AC31" s="777"/>
    </row>
    <row r="32" spans="4:29" ht="18" customHeight="1">
      <c r="D32" s="750" t="s">
        <v>1710</v>
      </c>
      <c r="E32" s="751" t="s">
        <v>1710</v>
      </c>
      <c r="F32" s="752">
        <v>15</v>
      </c>
      <c r="G32" s="309">
        <f>SUMIF(T_BS!$E:$E,'BS(공)'!D32,T_BS!$W:$W)</f>
        <v>118883200</v>
      </c>
      <c r="H32" s="309"/>
      <c r="I32" s="309">
        <v>118066714</v>
      </c>
      <c r="J32" s="310"/>
      <c r="K32" s="874"/>
      <c r="L32" s="874"/>
      <c r="M32" s="318"/>
      <c r="N32" s="318" t="b">
        <f>Z30=I32</f>
        <v>1</v>
      </c>
      <c r="O32" s="318"/>
      <c r="P32" s="770" t="s">
        <v>2094</v>
      </c>
      <c r="Q32" s="771"/>
      <c r="R32" s="772">
        <f>G34</f>
        <v>0</v>
      </c>
      <c r="S32" s="772"/>
      <c r="T32" s="772">
        <v>1852533634</v>
      </c>
      <c r="U32" s="773"/>
      <c r="W32" s="341"/>
      <c r="X32" s="774" t="s">
        <v>2094</v>
      </c>
      <c r="Y32" s="775">
        <v>24</v>
      </c>
      <c r="Z32" s="779">
        <v>1852533634</v>
      </c>
      <c r="AA32" s="776"/>
      <c r="AB32" s="779">
        <v>1995138159</v>
      </c>
      <c r="AC32" s="777"/>
    </row>
    <row r="33" spans="4:29" ht="18" customHeight="1">
      <c r="D33" s="750" t="s">
        <v>1736</v>
      </c>
      <c r="E33" s="751" t="s">
        <v>1647</v>
      </c>
      <c r="F33" s="752"/>
      <c r="G33" s="309">
        <f>SUMIF(T_BS!$E:$E,'BS(공)'!D33,T_BS!$W:$W)</f>
        <v>2715155001</v>
      </c>
      <c r="H33" s="309"/>
      <c r="I33" s="309">
        <v>695426099</v>
      </c>
      <c r="J33" s="310"/>
      <c r="K33" s="874"/>
      <c r="L33" s="874"/>
      <c r="M33" s="318"/>
      <c r="N33" s="318" t="b">
        <f>Z31=I33</f>
        <v>1</v>
      </c>
      <c r="O33" s="318"/>
      <c r="P33" s="770" t="s">
        <v>2090</v>
      </c>
      <c r="Q33" s="771" t="s">
        <v>2091</v>
      </c>
      <c r="R33" s="772">
        <f>G33</f>
        <v>2715155001</v>
      </c>
      <c r="S33" s="772"/>
      <c r="T33" s="772">
        <v>695426099</v>
      </c>
      <c r="U33" s="773"/>
      <c r="W33" s="341"/>
      <c r="X33" s="774" t="s">
        <v>2153</v>
      </c>
      <c r="Y33" s="775"/>
      <c r="Z33" s="776"/>
      <c r="AA33" s="779">
        <v>53668515015</v>
      </c>
      <c r="AB33" s="776"/>
      <c r="AC33" s="780">
        <v>44619710716</v>
      </c>
    </row>
    <row r="34" spans="4:29" ht="18" customHeight="1">
      <c r="D34" s="750" t="s">
        <v>1712</v>
      </c>
      <c r="E34" s="751" t="s">
        <v>665</v>
      </c>
      <c r="F34" s="752">
        <v>25</v>
      </c>
      <c r="G34" s="309">
        <f>SUMIF(T_BS!$E:$E,'BS(공)'!D34,T_BS!$W:$W)</f>
        <v>0</v>
      </c>
      <c r="H34" s="309"/>
      <c r="I34" s="309">
        <v>1852533634</v>
      </c>
      <c r="J34" s="310"/>
      <c r="K34" s="874"/>
      <c r="L34" s="874"/>
      <c r="M34" s="318"/>
      <c r="N34" s="318" t="b">
        <f>Z32=I34</f>
        <v>1</v>
      </c>
      <c r="O34" s="318" t="b">
        <f>S34=SUM(S28,S22)</f>
        <v>1</v>
      </c>
      <c r="P34" s="770" t="s">
        <v>1737</v>
      </c>
      <c r="Q34" s="771"/>
      <c r="R34" s="772"/>
      <c r="S34" s="772">
        <f>H35</f>
        <v>76642040389</v>
      </c>
      <c r="T34" s="772"/>
      <c r="U34" s="778">
        <v>53668515015</v>
      </c>
      <c r="V34" s="3" t="b">
        <f>U34=SUM(U28,U22)</f>
        <v>1</v>
      </c>
      <c r="W34" s="341"/>
      <c r="X34" s="774" t="s">
        <v>2154</v>
      </c>
      <c r="Y34" s="775"/>
      <c r="Z34" s="776"/>
      <c r="AA34" s="776"/>
      <c r="AB34" s="776"/>
      <c r="AC34" s="777"/>
    </row>
    <row r="35" spans="4:29" ht="18" customHeight="1">
      <c r="D35" s="748"/>
      <c r="E35" s="305" t="s">
        <v>1737</v>
      </c>
      <c r="F35" s="305"/>
      <c r="G35" s="305"/>
      <c r="H35" s="305">
        <f>SUM(H22,H28)</f>
        <v>76642040389</v>
      </c>
      <c r="I35" s="305"/>
      <c r="J35" s="306">
        <f>SUM(J22,J28)</f>
        <v>53668515015</v>
      </c>
      <c r="K35" s="287"/>
      <c r="L35" s="287"/>
      <c r="M35" s="318"/>
      <c r="N35" s="318" t="b">
        <f>AA33=J35</f>
        <v>1</v>
      </c>
      <c r="O35" s="318"/>
      <c r="P35" s="770" t="s">
        <v>1738</v>
      </c>
      <c r="Q35" s="771"/>
      <c r="R35" s="772"/>
      <c r="S35" s="772"/>
      <c r="T35" s="772"/>
      <c r="U35" s="773"/>
      <c r="W35" s="341"/>
      <c r="X35" s="774" t="s">
        <v>1739</v>
      </c>
      <c r="Y35" s="775"/>
      <c r="Z35" s="776"/>
      <c r="AA35" s="779">
        <v>117917039839</v>
      </c>
      <c r="AB35" s="776"/>
      <c r="AC35" s="780">
        <v>159858811329</v>
      </c>
    </row>
    <row r="36" spans="4:29" ht="18" customHeight="1">
      <c r="D36" s="748"/>
      <c r="E36" s="305" t="s">
        <v>1738</v>
      </c>
      <c r="F36" s="305"/>
      <c r="G36" s="305"/>
      <c r="H36" s="305"/>
      <c r="I36" s="305"/>
      <c r="J36" s="306"/>
      <c r="K36" s="287"/>
      <c r="L36" s="287"/>
      <c r="M36" s="318"/>
      <c r="N36" s="318"/>
      <c r="O36" s="318" t="b">
        <f>S36=SUM(R37:R40)</f>
        <v>1</v>
      </c>
      <c r="P36" s="770" t="s">
        <v>2095</v>
      </c>
      <c r="Q36" s="771"/>
      <c r="R36" s="772"/>
      <c r="S36" s="772">
        <f>H37</f>
        <v>95801398968</v>
      </c>
      <c r="T36" s="772"/>
      <c r="U36" s="778">
        <v>117917039839</v>
      </c>
      <c r="V36" s="3" t="b">
        <f>U36=SUM(T37:T40)</f>
        <v>1</v>
      </c>
      <c r="W36" s="341"/>
      <c r="X36" s="774" t="s">
        <v>1740</v>
      </c>
      <c r="Y36" s="775" t="s">
        <v>2155</v>
      </c>
      <c r="Z36" s="779">
        <v>28429923500</v>
      </c>
      <c r="AA36" s="776"/>
      <c r="AB36" s="779">
        <v>27779139500</v>
      </c>
      <c r="AC36" s="777"/>
    </row>
    <row r="37" spans="4:29" ht="18" customHeight="1">
      <c r="D37" s="749"/>
      <c r="E37" s="307" t="s">
        <v>1739</v>
      </c>
      <c r="F37" s="307"/>
      <c r="G37" s="307"/>
      <c r="H37" s="307">
        <f>SUM(G38:G41)</f>
        <v>95801398968</v>
      </c>
      <c r="I37" s="307"/>
      <c r="J37" s="308">
        <f>SUM(I38:I41)</f>
        <v>117917039839</v>
      </c>
      <c r="K37" s="292"/>
      <c r="L37" s="292"/>
      <c r="M37" s="318"/>
      <c r="N37" s="318" t="b">
        <f>AA35=J37</f>
        <v>1</v>
      </c>
      <c r="O37" s="318"/>
      <c r="P37" s="770" t="s">
        <v>2096</v>
      </c>
      <c r="Q37" s="771" t="s">
        <v>2097</v>
      </c>
      <c r="R37" s="772">
        <f>G38</f>
        <v>28429923500</v>
      </c>
      <c r="S37" s="772"/>
      <c r="T37" s="772">
        <v>28429923500</v>
      </c>
      <c r="U37" s="773"/>
      <c r="W37" s="341"/>
      <c r="X37" s="774" t="s">
        <v>1742</v>
      </c>
      <c r="Y37" s="775">
        <v>17</v>
      </c>
      <c r="Z37" s="779">
        <v>178559577856</v>
      </c>
      <c r="AA37" s="776"/>
      <c r="AB37" s="779">
        <v>173855395328</v>
      </c>
      <c r="AC37" s="777"/>
    </row>
    <row r="38" spans="4:29" ht="18" customHeight="1">
      <c r="D38" s="750" t="s">
        <v>10</v>
      </c>
      <c r="E38" s="751" t="s">
        <v>1740</v>
      </c>
      <c r="F38" s="752" t="s">
        <v>1741</v>
      </c>
      <c r="G38" s="309">
        <f>SUMIF(T_BS!$E:$E,'BS(공)'!D38,T_BS!$W:$W)</f>
        <v>28429923500</v>
      </c>
      <c r="H38" s="309"/>
      <c r="I38" s="309">
        <v>28429923500</v>
      </c>
      <c r="J38" s="310"/>
      <c r="K38" s="874"/>
      <c r="L38" s="874"/>
      <c r="M38" s="318"/>
      <c r="N38" s="318" t="b">
        <f>Z36=I38</f>
        <v>1</v>
      </c>
      <c r="O38" s="318"/>
      <c r="P38" s="770" t="s">
        <v>2098</v>
      </c>
      <c r="Q38" s="771">
        <v>15</v>
      </c>
      <c r="R38" s="772">
        <f>G39</f>
        <v>178559577856</v>
      </c>
      <c r="S38" s="772"/>
      <c r="T38" s="772">
        <v>178559577856</v>
      </c>
      <c r="U38" s="773"/>
      <c r="W38" s="341"/>
      <c r="X38" s="774" t="s">
        <v>1743</v>
      </c>
      <c r="Y38" s="775" t="s">
        <v>2156</v>
      </c>
      <c r="Z38" s="779">
        <v>-1301501750</v>
      </c>
      <c r="AA38" s="776"/>
      <c r="AB38" s="779">
        <v>-2776797396</v>
      </c>
      <c r="AC38" s="777"/>
    </row>
    <row r="39" spans="4:29" ht="18" customHeight="1">
      <c r="D39" s="750" t="s">
        <v>12</v>
      </c>
      <c r="E39" s="751" t="s">
        <v>1742</v>
      </c>
      <c r="F39" s="752">
        <v>18</v>
      </c>
      <c r="G39" s="309">
        <f>SUMIF(T_BS!$E:$E,'BS(공)'!D39,T_BS!$W:$W)</f>
        <v>178559577856</v>
      </c>
      <c r="H39" s="309"/>
      <c r="I39" s="309">
        <v>178559577856</v>
      </c>
      <c r="J39" s="310"/>
      <c r="K39" s="874"/>
      <c r="L39" s="874"/>
      <c r="M39" s="318"/>
      <c r="N39" s="318" t="b">
        <f>Z37=I39</f>
        <v>1</v>
      </c>
      <c r="O39" s="318"/>
      <c r="P39" s="770" t="s">
        <v>2099</v>
      </c>
      <c r="Q39" s="771" t="s">
        <v>2100</v>
      </c>
      <c r="R39" s="772">
        <f>G40</f>
        <v>-310683954</v>
      </c>
      <c r="S39" s="772"/>
      <c r="T39" s="772">
        <v>-1301501750</v>
      </c>
      <c r="U39" s="773"/>
      <c r="W39" s="341"/>
      <c r="X39" s="774" t="s">
        <v>1745</v>
      </c>
      <c r="Y39" s="775">
        <v>19</v>
      </c>
      <c r="Z39" s="779">
        <v>-87770959767</v>
      </c>
      <c r="AA39" s="776"/>
      <c r="AB39" s="779">
        <v>-38998926103</v>
      </c>
      <c r="AC39" s="777"/>
    </row>
    <row r="40" spans="4:29" ht="18" customHeight="1">
      <c r="D40" s="750" t="s">
        <v>194</v>
      </c>
      <c r="E40" s="751" t="s">
        <v>1743</v>
      </c>
      <c r="F40" s="752" t="s">
        <v>1744</v>
      </c>
      <c r="G40" s="309">
        <f>SUMIF(T_BS!$E:$E,'BS(공)'!D40,T_BS!$W:$W)</f>
        <v>-310683954</v>
      </c>
      <c r="H40" s="309"/>
      <c r="I40" s="309">
        <v>-1301501750</v>
      </c>
      <c r="J40" s="310"/>
      <c r="K40" s="874"/>
      <c r="L40" s="874"/>
      <c r="M40" s="318"/>
      <c r="N40" s="318" t="b">
        <f>Z38=I40</f>
        <v>1</v>
      </c>
      <c r="O40" s="318"/>
      <c r="P40" s="770" t="s">
        <v>2101</v>
      </c>
      <c r="Q40" s="771"/>
      <c r="R40" s="772">
        <f>G41</f>
        <v>-110877418434</v>
      </c>
      <c r="S40" s="772"/>
      <c r="T40" s="772">
        <v>-87770959767</v>
      </c>
      <c r="U40" s="773"/>
      <c r="W40" s="341"/>
      <c r="X40" s="774" t="s">
        <v>1693</v>
      </c>
      <c r="Y40" s="775"/>
      <c r="Z40" s="776"/>
      <c r="AA40" s="776">
        <v>0</v>
      </c>
      <c r="AB40" s="776"/>
      <c r="AC40" s="777">
        <v>0</v>
      </c>
    </row>
    <row r="41" spans="4:29" ht="18" customHeight="1">
      <c r="D41" s="750" t="s">
        <v>13</v>
      </c>
      <c r="E41" s="751" t="s">
        <v>1745</v>
      </c>
      <c r="F41" s="752">
        <v>20</v>
      </c>
      <c r="G41" s="309">
        <f>SUMIF(T_BS!$E:$E,'BS(공)'!D41,T_BS!$W:$W)</f>
        <v>-110877418434</v>
      </c>
      <c r="H41" s="309"/>
      <c r="I41" s="309">
        <v>-87770959767</v>
      </c>
      <c r="J41" s="310"/>
      <c r="K41" s="874"/>
      <c r="L41" s="874"/>
      <c r="M41" s="318"/>
      <c r="N41" s="318" t="b">
        <f>Z39=I41</f>
        <v>1</v>
      </c>
      <c r="O41" s="318"/>
      <c r="P41" s="770" t="s">
        <v>2102</v>
      </c>
      <c r="Q41" s="771"/>
      <c r="R41" s="772"/>
      <c r="S41" s="772" t="s">
        <v>612</v>
      </c>
      <c r="T41" s="772"/>
      <c r="U41" s="773" t="s">
        <v>612</v>
      </c>
      <c r="W41" s="341"/>
      <c r="X41" s="774" t="s">
        <v>2157</v>
      </c>
      <c r="Y41" s="775"/>
      <c r="Z41" s="776"/>
      <c r="AA41" s="779">
        <v>117917039839</v>
      </c>
      <c r="AB41" s="776"/>
      <c r="AC41" s="780">
        <v>159858811329</v>
      </c>
    </row>
    <row r="42" spans="4:29" ht="18" customHeight="1">
      <c r="D42" s="748"/>
      <c r="E42" s="305" t="s">
        <v>1746</v>
      </c>
      <c r="F42" s="305"/>
      <c r="G42" s="305"/>
      <c r="H42" s="305">
        <f>SUM(H37)</f>
        <v>95801398968</v>
      </c>
      <c r="I42" s="305"/>
      <c r="J42" s="306">
        <f>SUM(J37)</f>
        <v>117917039839</v>
      </c>
      <c r="K42" s="287"/>
      <c r="L42" s="287"/>
      <c r="M42" s="318"/>
      <c r="N42" s="318" t="b">
        <f>AA41=J42</f>
        <v>1</v>
      </c>
      <c r="O42" s="318" t="b">
        <f>S42=S36</f>
        <v>1</v>
      </c>
      <c r="P42" s="770" t="s">
        <v>1746</v>
      </c>
      <c r="Q42" s="771"/>
      <c r="R42" s="772"/>
      <c r="S42" s="772">
        <f>H42</f>
        <v>95801398968</v>
      </c>
      <c r="T42" s="772"/>
      <c r="U42" s="778">
        <v>117917039839</v>
      </c>
      <c r="V42" s="3" t="b">
        <f>U42=U36</f>
        <v>1</v>
      </c>
      <c r="W42" s="341"/>
      <c r="X42" s="782" t="s">
        <v>2158</v>
      </c>
      <c r="Y42" s="783"/>
      <c r="Z42" s="784"/>
      <c r="AA42" s="785">
        <v>171585554854</v>
      </c>
      <c r="AB42" s="784"/>
      <c r="AC42" s="786">
        <v>204478522045</v>
      </c>
    </row>
    <row r="43" spans="4:29" ht="18" customHeight="1" thickBot="1">
      <c r="D43" s="753"/>
      <c r="E43" s="311" t="s">
        <v>1747</v>
      </c>
      <c r="F43" s="311"/>
      <c r="G43" s="311"/>
      <c r="H43" s="311">
        <f>SUM(H42,H35)</f>
        <v>172443439357</v>
      </c>
      <c r="I43" s="311"/>
      <c r="J43" s="312">
        <f>SUM(J42,J35)</f>
        <v>171585554854</v>
      </c>
      <c r="K43" s="287"/>
      <c r="L43" s="287"/>
      <c r="M43" s="318"/>
      <c r="N43" s="318" t="b">
        <f>AA42=J43</f>
        <v>1</v>
      </c>
      <c r="O43" s="318" t="b">
        <f>S43=SUM(S34,S42)</f>
        <v>1</v>
      </c>
      <c r="P43" s="787" t="s">
        <v>1747</v>
      </c>
      <c r="Q43" s="788"/>
      <c r="R43" s="772"/>
      <c r="S43" s="789">
        <f>H43</f>
        <v>172443439357</v>
      </c>
      <c r="T43" s="789"/>
      <c r="U43" s="778">
        <v>171585554854</v>
      </c>
      <c r="V43" s="3" t="b">
        <f>U43=U42+U34</f>
        <v>1</v>
      </c>
      <c r="W43" s="341"/>
    </row>
    <row r="44" spans="4:29" ht="18" customHeight="1" thickBot="1"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 t="b">
        <f>S43=S20</f>
        <v>1</v>
      </c>
      <c r="T44" s="318"/>
      <c r="U44" s="318" t="b">
        <f>U43=U20</f>
        <v>1</v>
      </c>
      <c r="W44" s="341"/>
    </row>
    <row r="45" spans="4:29" ht="18" customHeight="1">
      <c r="D45" s="754"/>
      <c r="E45" s="755" t="s">
        <v>1748</v>
      </c>
      <c r="F45" s="755"/>
      <c r="G45" s="755"/>
      <c r="H45" s="756" t="b">
        <f>H20=H43</f>
        <v>1</v>
      </c>
      <c r="I45" s="756"/>
      <c r="J45" s="757" t="b">
        <f>J20=J43</f>
        <v>1</v>
      </c>
      <c r="K45" s="759"/>
      <c r="L45" s="759"/>
      <c r="M45" s="318"/>
      <c r="N45" s="318"/>
      <c r="O45" s="318"/>
      <c r="P45" s="318"/>
      <c r="Q45" s="318"/>
      <c r="R45" s="318"/>
      <c r="S45" s="318"/>
      <c r="T45" s="318"/>
      <c r="U45" s="318"/>
      <c r="W45" s="341"/>
    </row>
    <row r="46" spans="4:29" ht="18" customHeight="1">
      <c r="D46" s="758"/>
      <c r="E46" s="743" t="s">
        <v>1749</v>
      </c>
      <c r="F46" s="743"/>
      <c r="G46" s="743"/>
      <c r="H46" s="759" t="b">
        <f>H6=T_BS!W8</f>
        <v>1</v>
      </c>
      <c r="I46" s="759"/>
      <c r="J46" s="760"/>
      <c r="K46" s="759"/>
      <c r="L46" s="759"/>
      <c r="M46" s="318"/>
      <c r="N46" s="318"/>
      <c r="O46" s="318"/>
      <c r="P46" s="318"/>
      <c r="Q46" s="318"/>
      <c r="R46" s="318"/>
      <c r="S46" s="318"/>
      <c r="T46" s="318"/>
      <c r="W46" s="341"/>
    </row>
    <row r="47" spans="4:29" ht="18" customHeight="1" thickBot="1">
      <c r="D47" s="761"/>
      <c r="E47" s="762"/>
      <c r="F47" s="762"/>
      <c r="G47" s="762"/>
      <c r="H47" s="763"/>
      <c r="I47" s="763"/>
      <c r="J47" s="764"/>
      <c r="K47" s="759"/>
      <c r="L47" s="759"/>
      <c r="M47" s="318"/>
      <c r="N47" s="318"/>
      <c r="O47" s="318"/>
      <c r="P47" s="318"/>
      <c r="Q47" s="318"/>
      <c r="R47" s="318"/>
      <c r="S47" s="318"/>
      <c r="T47" s="318"/>
      <c r="W47" s="341"/>
    </row>
    <row r="48" spans="4:29" ht="18" customHeight="1"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W48" s="341"/>
    </row>
    <row r="49" spans="4:23" ht="18" customHeight="1"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W49" s="341"/>
    </row>
    <row r="50" spans="4:23" ht="18" customHeight="1"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W50" s="341"/>
    </row>
    <row r="51" spans="4:23" ht="18" customHeight="1"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W51" s="341"/>
    </row>
    <row r="52" spans="4:23" ht="18" customHeight="1"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W52" s="341"/>
    </row>
    <row r="53" spans="4:23" ht="18" customHeight="1"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W53" s="341"/>
    </row>
    <row r="54" spans="4:23" ht="18" customHeight="1"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W54" s="341"/>
    </row>
    <row r="55" spans="4:23" ht="18" customHeight="1"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W55" s="341"/>
    </row>
    <row r="56" spans="4:23" ht="18" customHeight="1"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W56" s="341"/>
    </row>
    <row r="57" spans="4:23" ht="18" customHeight="1"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  <c r="S57" s="318"/>
      <c r="T57" s="318"/>
      <c r="W57" s="341"/>
    </row>
    <row r="58" spans="4:23" ht="18" customHeight="1"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W58" s="341"/>
    </row>
    <row r="59" spans="4:23" ht="18" customHeight="1"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W59" s="341"/>
    </row>
    <row r="60" spans="4:23" ht="18" customHeight="1"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W60" s="341"/>
    </row>
    <row r="61" spans="4:23" ht="18" customHeight="1"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W61" s="341"/>
    </row>
    <row r="62" spans="4:23" ht="18" customHeight="1"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W62" s="341"/>
    </row>
    <row r="63" spans="4:23" ht="18" customHeight="1"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W63" s="341"/>
    </row>
    <row r="64" spans="4:23" ht="18" customHeight="1"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W64" s="341"/>
    </row>
    <row r="65" spans="23:23" ht="18" customHeight="1">
      <c r="W65" s="341"/>
    </row>
    <row r="66" spans="23:23" ht="18" customHeight="1">
      <c r="W66" s="341"/>
    </row>
    <row r="67" spans="23:23" ht="18" customHeight="1">
      <c r="W67" s="341"/>
    </row>
    <row r="68" spans="23:23" ht="18" customHeight="1">
      <c r="W68" s="341"/>
    </row>
    <row r="69" spans="23:23" ht="18" customHeight="1">
      <c r="W69" s="341"/>
    </row>
    <row r="70" spans="23:23" ht="18" customHeight="1">
      <c r="W70" s="341"/>
    </row>
    <row r="71" spans="23:23" ht="18" customHeight="1">
      <c r="W71" s="341"/>
    </row>
    <row r="72" spans="23:23" ht="18" customHeight="1">
      <c r="W72" s="341"/>
    </row>
    <row r="73" spans="23:23" ht="18" customHeight="1">
      <c r="W73" s="341"/>
    </row>
    <row r="74" spans="23:23" ht="18" customHeight="1">
      <c r="W74" s="341"/>
    </row>
    <row r="75" spans="23:23" ht="18" customHeight="1">
      <c r="W75" s="341"/>
    </row>
    <row r="76" spans="23:23" ht="18" customHeight="1">
      <c r="W76" s="341"/>
    </row>
    <row r="77" spans="23:23" ht="18" customHeight="1">
      <c r="W77" s="341"/>
    </row>
    <row r="78" spans="23:23" ht="18" customHeight="1">
      <c r="W78" s="341"/>
    </row>
    <row r="79" spans="23:23" ht="18" customHeight="1">
      <c r="W79" s="341"/>
    </row>
    <row r="80" spans="23:23" ht="18" customHeight="1">
      <c r="W80" s="341"/>
    </row>
    <row r="81" spans="23:23" ht="18" customHeight="1">
      <c r="W81" s="341"/>
    </row>
  </sheetData>
  <mergeCells count="5">
    <mergeCell ref="R4:S4"/>
    <mergeCell ref="T4:U4"/>
    <mergeCell ref="Z4:AA4"/>
    <mergeCell ref="AB4:AC4"/>
    <mergeCell ref="I3:J3"/>
  </mergeCells>
  <phoneticPr fontId="2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034C15A9056594FA95091338A27108C" ma:contentTypeVersion="0" ma:contentTypeDescription="새 문서를 만듭니다." ma:contentTypeScope="" ma:versionID="341cca1eb3685c90aba35c931049f24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53df8cedb0a69f5bea2107cee84c5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DAEMSEngagementItemInfo xmlns="http://schemas.microsoft.com/DAEMSEngagementItemInfoXML">
  <EngagementID>5000108464</EngagementID>
  <LogicalEMSServerID>4616908268048594663</LogicalEMSServerID>
  <WorkingPaperID>3373640797900003463</WorkingPaperID>
</DAEMSEngagementItemInfo>
</file>

<file path=customXml/itemProps1.xml><?xml version="1.0" encoding="utf-8"?>
<ds:datastoreItem xmlns:ds="http://schemas.openxmlformats.org/officeDocument/2006/customXml" ds:itemID="{034C2B27-B3D4-400F-9F17-F97271578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93454F-6FA1-41B1-8127-10E28708B6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8EC82A-EC21-4D36-84A5-73AD5C33670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82981E6-818A-48F0-93FE-776404CECFA6}">
  <ds:schemaRefs>
    <ds:schemaRef ds:uri="http://schemas.microsoft.com/DAEMSEngagementItemInfo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INDEX</vt:lpstr>
      <vt:lpstr>SCOPE</vt:lpstr>
      <vt:lpstr>자본변동</vt:lpstr>
      <vt:lpstr>T_BS</vt:lpstr>
      <vt:lpstr>T_IS</vt:lpstr>
      <vt:lpstr>T_CE</vt:lpstr>
      <vt:lpstr>CF.1</vt:lpstr>
      <vt:lpstr>CF.2</vt:lpstr>
      <vt:lpstr>BS(공)</vt:lpstr>
      <vt:lpstr>IS(공)</vt:lpstr>
      <vt:lpstr>CE(공)</vt:lpstr>
      <vt:lpstr>CF(공)_1.0</vt:lpstr>
      <vt:lpstr>T198_TB</vt:lpstr>
      <vt:lpstr>TB</vt:lpstr>
      <vt:lpstr>CFS</vt:lpstr>
      <vt:lpstr>연결조정 분개</vt:lpstr>
      <vt:lpstr>1.0</vt:lpstr>
      <vt:lpstr>2.0</vt:lpstr>
      <vt:lpstr>2.1</vt:lpstr>
      <vt:lpstr>3.0</vt:lpstr>
      <vt:lpstr>3.1</vt:lpstr>
      <vt:lpstr>4.0</vt:lpstr>
      <vt:lpstr>5.0</vt:lpstr>
      <vt:lpstr>5.1</vt:lpstr>
      <vt:lpstr>5.1_V2</vt:lpstr>
      <vt:lpstr>5.2</vt:lpstr>
      <vt:lpstr>5.2_V2</vt:lpstr>
      <vt:lpstr>5.3</vt:lpstr>
      <vt:lpstr>6.0</vt:lpstr>
      <vt:lpstr>7.0</vt:lpstr>
      <vt:lpstr>7.1</vt:lpstr>
      <vt:lpstr>8.0</vt:lpstr>
      <vt:lpstr>8.1</vt:lpstr>
      <vt:lpstr>OCI</vt:lpstr>
      <vt:lpstr>NCE</vt:lpstr>
      <vt:lpstr>NCI</vt:lpstr>
      <vt:lpstr>CF(공)_2.0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dreamus</dc:creator>
  <cp:lastModifiedBy>Wesley</cp:lastModifiedBy>
  <dcterms:created xsi:type="dcterms:W3CDTF">2015-06-05T18:17:20Z</dcterms:created>
  <dcterms:modified xsi:type="dcterms:W3CDTF">2021-06-15T08:39:04Z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0x010100E034C15A9056594FA95091338A27108C</vt:lpwstr>
  </property>
</Properties>
</file>